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ASICI" sheetId="1" r:id="rId1"/>
    <sheet name="ACTIVE" sheetId="2" r:id="rId2"/>
    <sheet name="FANTASIE" sheetId="3" r:id="rId3"/>
    <sheet name="TOTALE" sheetId="4" r:id="rId4"/>
  </sheets>
  <calcPr calcId="152511"/>
</workbook>
</file>

<file path=xl/calcChain.xml><?xml version="1.0" encoding="utf-8"?>
<calcChain xmlns="http://schemas.openxmlformats.org/spreadsheetml/2006/main">
  <c r="P6" i="1" l="1"/>
  <c r="P7" i="1"/>
  <c r="Q7" i="1"/>
  <c r="N8" i="1"/>
  <c r="N9" i="1"/>
  <c r="Q10" i="1"/>
  <c r="Q11" i="1"/>
  <c r="Q4" i="1"/>
  <c r="P4" i="1"/>
  <c r="P102" i="1"/>
  <c r="C5" i="1"/>
  <c r="C6" i="4"/>
  <c r="D18" i="1"/>
  <c r="J17" i="1"/>
  <c r="P17" i="1"/>
  <c r="J16" i="1"/>
  <c r="P16" i="1"/>
  <c r="J14" i="1"/>
  <c r="P14" i="1" s="1"/>
  <c r="I45" i="3"/>
  <c r="E35" i="2"/>
  <c r="Q35" i="2" s="1"/>
  <c r="D35" i="2"/>
  <c r="P35" i="2"/>
  <c r="C35" i="2"/>
  <c r="O35" i="2"/>
  <c r="I35" i="2"/>
  <c r="E47" i="1"/>
  <c r="D47" i="1"/>
  <c r="C47" i="1"/>
  <c r="J36" i="1"/>
  <c r="I36" i="1"/>
  <c r="E36" i="1"/>
  <c r="Q36" i="1"/>
  <c r="E27" i="1"/>
  <c r="D27" i="1"/>
  <c r="C27" i="1"/>
  <c r="E14" i="1"/>
  <c r="Q14" i="1" s="1"/>
  <c r="E16" i="1"/>
  <c r="E17" i="1"/>
  <c r="I17" i="1"/>
  <c r="I16" i="1"/>
  <c r="I14" i="1"/>
  <c r="I33" i="3"/>
  <c r="I38" i="3"/>
  <c r="I41" i="3"/>
  <c r="I40" i="3"/>
  <c r="I37" i="3"/>
  <c r="I4" i="3"/>
  <c r="I9" i="3"/>
  <c r="I20" i="3"/>
  <c r="I15" i="3"/>
  <c r="I26" i="3"/>
  <c r="I32" i="3"/>
  <c r="I25" i="3"/>
  <c r="I19" i="3"/>
  <c r="I14" i="3"/>
  <c r="I8" i="3"/>
  <c r="I3" i="3"/>
  <c r="Q39" i="2"/>
  <c r="P39" i="2"/>
  <c r="O39" i="2"/>
  <c r="I39" i="2"/>
  <c r="H39" i="2"/>
  <c r="N39" i="2" s="1"/>
  <c r="G39" i="2"/>
  <c r="M39" i="2" s="1"/>
  <c r="N38" i="2"/>
  <c r="M38" i="2"/>
  <c r="G38" i="2"/>
  <c r="E38" i="2"/>
  <c r="Q38" i="2" s="1"/>
  <c r="D38" i="2"/>
  <c r="P38" i="2"/>
  <c r="C38" i="2"/>
  <c r="O38" i="2" s="1"/>
  <c r="N37" i="2"/>
  <c r="M37" i="2"/>
  <c r="G37" i="2"/>
  <c r="E37" i="2"/>
  <c r="Q37" i="2"/>
  <c r="D37" i="2"/>
  <c r="P37" i="2" s="1"/>
  <c r="C37" i="2"/>
  <c r="O37" i="2"/>
  <c r="Q36" i="2"/>
  <c r="P36" i="2"/>
  <c r="I36" i="2"/>
  <c r="O36" i="2" s="1"/>
  <c r="H36" i="2"/>
  <c r="N36" i="2" s="1"/>
  <c r="G36" i="2"/>
  <c r="M36" i="2"/>
  <c r="M35" i="2"/>
  <c r="H35" i="2"/>
  <c r="N35" i="2" s="1"/>
  <c r="G35" i="2"/>
  <c r="Q34" i="2"/>
  <c r="O34" i="2"/>
  <c r="N34" i="2"/>
  <c r="G34" i="2"/>
  <c r="M34" i="2"/>
  <c r="D34" i="2"/>
  <c r="P34" i="2" s="1"/>
  <c r="C34" i="2"/>
  <c r="Q33" i="2"/>
  <c r="O33" i="2"/>
  <c r="M33" i="2"/>
  <c r="J33" i="2"/>
  <c r="P33" i="2" s="1"/>
  <c r="H33" i="2"/>
  <c r="N33" i="2" s="1"/>
  <c r="G33" i="2"/>
  <c r="D33" i="2"/>
  <c r="Q32" i="2"/>
  <c r="I32" i="2"/>
  <c r="H32" i="2"/>
  <c r="N32" i="2"/>
  <c r="G32" i="2"/>
  <c r="M32" i="2" s="1"/>
  <c r="E32" i="2"/>
  <c r="D32" i="2"/>
  <c r="P32" i="2" s="1"/>
  <c r="C32" i="2"/>
  <c r="O32" i="2" s="1"/>
  <c r="P31" i="2"/>
  <c r="N31" i="2"/>
  <c r="I31" i="2"/>
  <c r="G31" i="2"/>
  <c r="M31" i="2"/>
  <c r="E31" i="2"/>
  <c r="Q31" i="2" s="1"/>
  <c r="D31" i="2"/>
  <c r="C31" i="2"/>
  <c r="O31" i="2"/>
  <c r="B31" i="2"/>
  <c r="U30" i="2"/>
  <c r="P28" i="2"/>
  <c r="I28" i="2"/>
  <c r="H28" i="2"/>
  <c r="N28" i="2"/>
  <c r="G28" i="2"/>
  <c r="M28" i="2" s="1"/>
  <c r="E28" i="2"/>
  <c r="Q28" i="2" s="1"/>
  <c r="C28" i="2"/>
  <c r="O28" i="2" s="1"/>
  <c r="P27" i="2"/>
  <c r="N27" i="2"/>
  <c r="I27" i="2"/>
  <c r="H27" i="2"/>
  <c r="G27" i="2"/>
  <c r="M27" i="2"/>
  <c r="E27" i="2"/>
  <c r="Q27" i="2" s="1"/>
  <c r="D27" i="2"/>
  <c r="C27" i="2"/>
  <c r="O27" i="2" s="1"/>
  <c r="P26" i="2"/>
  <c r="I26" i="2"/>
  <c r="O26" i="2" s="1"/>
  <c r="H26" i="2"/>
  <c r="N26" i="2" s="1"/>
  <c r="U26" i="2" s="1"/>
  <c r="G26" i="2"/>
  <c r="M26" i="2" s="1"/>
  <c r="E26" i="2"/>
  <c r="Q26" i="2"/>
  <c r="D26" i="2"/>
  <c r="C26" i="2"/>
  <c r="U25" i="2"/>
  <c r="Q23" i="2"/>
  <c r="I23" i="2"/>
  <c r="H23" i="2"/>
  <c r="N23" i="2"/>
  <c r="G23" i="2"/>
  <c r="M23" i="2" s="1"/>
  <c r="E23" i="2"/>
  <c r="D23" i="2"/>
  <c r="P23" i="2" s="1"/>
  <c r="C23" i="2"/>
  <c r="O23" i="2" s="1"/>
  <c r="M22" i="2"/>
  <c r="J22" i="2"/>
  <c r="I22" i="2"/>
  <c r="H22" i="2"/>
  <c r="N22" i="2"/>
  <c r="G22" i="2"/>
  <c r="E22" i="2"/>
  <c r="Q22" i="2" s="1"/>
  <c r="D22" i="2"/>
  <c r="P22" i="2" s="1"/>
  <c r="C22" i="2"/>
  <c r="O22" i="2" s="1"/>
  <c r="U21" i="2"/>
  <c r="P19" i="2"/>
  <c r="M19" i="2"/>
  <c r="I19" i="2"/>
  <c r="H19" i="2"/>
  <c r="N19" i="2"/>
  <c r="G19" i="2"/>
  <c r="E19" i="2"/>
  <c r="Q19" i="2"/>
  <c r="C19" i="2"/>
  <c r="O19" i="2" s="1"/>
  <c r="N18" i="2"/>
  <c r="J18" i="2"/>
  <c r="P18" i="2" s="1"/>
  <c r="I18" i="2"/>
  <c r="H18" i="2"/>
  <c r="G18" i="2"/>
  <c r="M18" i="2"/>
  <c r="E18" i="2"/>
  <c r="Q18" i="2" s="1"/>
  <c r="D18" i="2"/>
  <c r="C18" i="2"/>
  <c r="O18" i="2"/>
  <c r="U17" i="2"/>
  <c r="O15" i="2"/>
  <c r="N15" i="2"/>
  <c r="J15" i="2"/>
  <c r="I15" i="2"/>
  <c r="H15" i="2"/>
  <c r="G15" i="2"/>
  <c r="M15" i="2"/>
  <c r="E15" i="2"/>
  <c r="Q15" i="2"/>
  <c r="D15" i="2"/>
  <c r="P15" i="2"/>
  <c r="C15" i="2"/>
  <c r="U14" i="2"/>
  <c r="Q12" i="2"/>
  <c r="N12" i="2"/>
  <c r="U12" i="2" s="1"/>
  <c r="J12" i="2"/>
  <c r="I12" i="2"/>
  <c r="H12" i="2"/>
  <c r="G12" i="2"/>
  <c r="M12" i="2" s="1"/>
  <c r="E12" i="2"/>
  <c r="D12" i="2"/>
  <c r="P12" i="2"/>
  <c r="C12" i="2"/>
  <c r="O12" i="2"/>
  <c r="U11" i="2"/>
  <c r="Q9" i="2"/>
  <c r="P9" i="2"/>
  <c r="N9" i="2"/>
  <c r="M9" i="2"/>
  <c r="I9" i="2"/>
  <c r="G9" i="2"/>
  <c r="E9" i="2"/>
  <c r="C9" i="2"/>
  <c r="O9" i="2"/>
  <c r="J8" i="2"/>
  <c r="I8" i="2"/>
  <c r="O8" i="2" s="1"/>
  <c r="H8" i="2"/>
  <c r="N8" i="2" s="1"/>
  <c r="G8" i="2"/>
  <c r="M8" i="2"/>
  <c r="E8" i="2"/>
  <c r="Q8" i="2" s="1"/>
  <c r="D8" i="2"/>
  <c r="P8" i="2"/>
  <c r="U7" i="2"/>
  <c r="P5" i="2"/>
  <c r="I5" i="2"/>
  <c r="O5" i="2"/>
  <c r="H5" i="2"/>
  <c r="N5" i="2"/>
  <c r="G5" i="2"/>
  <c r="M5" i="2" s="1"/>
  <c r="E5" i="2"/>
  <c r="Q5" i="2" s="1"/>
  <c r="M4" i="2"/>
  <c r="J4" i="2"/>
  <c r="I4" i="2"/>
  <c r="H4" i="2"/>
  <c r="N4" i="2"/>
  <c r="G4" i="2"/>
  <c r="E4" i="2"/>
  <c r="Q4" i="2" s="1"/>
  <c r="D4" i="2"/>
  <c r="P4" i="2" s="1"/>
  <c r="C4" i="2"/>
  <c r="O4" i="2" s="1"/>
  <c r="U3" i="2"/>
  <c r="D5" i="1"/>
  <c r="E5" i="1"/>
  <c r="Q5" i="1" s="1"/>
  <c r="U95" i="1"/>
  <c r="U101" i="1"/>
  <c r="U53" i="1"/>
  <c r="U64" i="1"/>
  <c r="U75" i="1"/>
  <c r="U85" i="1"/>
  <c r="U33" i="1"/>
  <c r="U43" i="1"/>
  <c r="U23" i="1"/>
  <c r="U13" i="1"/>
  <c r="U3" i="1"/>
  <c r="J103" i="1"/>
  <c r="I103" i="1"/>
  <c r="H103" i="1"/>
  <c r="J102" i="1"/>
  <c r="I102" i="1"/>
  <c r="H102" i="1"/>
  <c r="J99" i="1"/>
  <c r="I99" i="1"/>
  <c r="H99" i="1"/>
  <c r="J98" i="1"/>
  <c r="I98" i="1"/>
  <c r="H98" i="1"/>
  <c r="J97" i="1"/>
  <c r="I97" i="1"/>
  <c r="H97" i="1"/>
  <c r="J96" i="1"/>
  <c r="I96" i="1"/>
  <c r="H96" i="1"/>
  <c r="P103" i="1"/>
  <c r="O103" i="1"/>
  <c r="N103" i="1"/>
  <c r="O102" i="1"/>
  <c r="N102" i="1"/>
  <c r="U102" i="1" s="1"/>
  <c r="P99" i="1"/>
  <c r="O99" i="1"/>
  <c r="N99" i="1"/>
  <c r="P98" i="1"/>
  <c r="O98" i="1"/>
  <c r="N98" i="1"/>
  <c r="P97" i="1"/>
  <c r="O97" i="1"/>
  <c r="N97" i="1"/>
  <c r="P96" i="1"/>
  <c r="O96" i="1"/>
  <c r="N96" i="1"/>
  <c r="U96" i="1" s="1"/>
  <c r="Q93" i="1"/>
  <c r="P93" i="1"/>
  <c r="O93" i="1"/>
  <c r="N93" i="1"/>
  <c r="G93" i="1"/>
  <c r="M93" i="1"/>
  <c r="Q92" i="1"/>
  <c r="P92" i="1"/>
  <c r="O92" i="1"/>
  <c r="N92" i="1"/>
  <c r="G92" i="1"/>
  <c r="M92" i="1"/>
  <c r="N91" i="1"/>
  <c r="G91" i="1"/>
  <c r="M91" i="1" s="1"/>
  <c r="E91" i="1"/>
  <c r="Q91" i="1"/>
  <c r="D91" i="1"/>
  <c r="P91" i="1" s="1"/>
  <c r="C91" i="1"/>
  <c r="O91" i="1"/>
  <c r="N90" i="1"/>
  <c r="G90" i="1"/>
  <c r="M90" i="1" s="1"/>
  <c r="E90" i="1"/>
  <c r="Q90" i="1"/>
  <c r="D90" i="1"/>
  <c r="P90" i="1"/>
  <c r="C90" i="1"/>
  <c r="O90" i="1"/>
  <c r="N89" i="1"/>
  <c r="G89" i="1"/>
  <c r="M89" i="1"/>
  <c r="E89" i="1"/>
  <c r="Q89" i="1" s="1"/>
  <c r="D89" i="1"/>
  <c r="P89" i="1"/>
  <c r="C89" i="1"/>
  <c r="O89" i="1" s="1"/>
  <c r="N88" i="1"/>
  <c r="G88" i="1"/>
  <c r="M88" i="1"/>
  <c r="E88" i="1"/>
  <c r="Q88" i="1"/>
  <c r="D88" i="1"/>
  <c r="P88" i="1"/>
  <c r="C88" i="1"/>
  <c r="O88" i="1"/>
  <c r="N87" i="1"/>
  <c r="G87" i="1"/>
  <c r="M87" i="1" s="1"/>
  <c r="E87" i="1"/>
  <c r="Q87" i="1"/>
  <c r="D87" i="1"/>
  <c r="P87" i="1" s="1"/>
  <c r="C87" i="1"/>
  <c r="O87" i="1"/>
  <c r="N86" i="1"/>
  <c r="G86" i="1"/>
  <c r="M86" i="1"/>
  <c r="E86" i="1"/>
  <c r="Q86" i="1"/>
  <c r="D86" i="1"/>
  <c r="P86" i="1"/>
  <c r="C86" i="1"/>
  <c r="O86" i="1"/>
  <c r="Q83" i="1"/>
  <c r="P83" i="1"/>
  <c r="O83" i="1"/>
  <c r="N83" i="1"/>
  <c r="G83" i="1"/>
  <c r="M83" i="1"/>
  <c r="Q82" i="1"/>
  <c r="P82" i="1"/>
  <c r="O82" i="1"/>
  <c r="N82" i="1"/>
  <c r="G82" i="1"/>
  <c r="M82" i="1"/>
  <c r="Q81" i="1"/>
  <c r="P81" i="1"/>
  <c r="O81" i="1"/>
  <c r="N81" i="1"/>
  <c r="G81" i="1"/>
  <c r="M81" i="1"/>
  <c r="G80" i="1"/>
  <c r="M80" i="1"/>
  <c r="E80" i="1"/>
  <c r="Q80" i="1"/>
  <c r="D80" i="1"/>
  <c r="P80" i="1"/>
  <c r="C80" i="1"/>
  <c r="O80" i="1"/>
  <c r="B80" i="1"/>
  <c r="N80" i="1"/>
  <c r="P79" i="1"/>
  <c r="N79" i="1"/>
  <c r="G79" i="1"/>
  <c r="M79" i="1"/>
  <c r="E79" i="1"/>
  <c r="Q79" i="1"/>
  <c r="C79" i="1"/>
  <c r="O79" i="1"/>
  <c r="P78" i="1"/>
  <c r="G78" i="1"/>
  <c r="M78" i="1"/>
  <c r="E78" i="1"/>
  <c r="Q78" i="1" s="1"/>
  <c r="C78" i="1"/>
  <c r="O78" i="1"/>
  <c r="B78" i="1"/>
  <c r="N78" i="1" s="1"/>
  <c r="P77" i="1"/>
  <c r="G77" i="1"/>
  <c r="M77" i="1" s="1"/>
  <c r="E77" i="1"/>
  <c r="Q77" i="1"/>
  <c r="C77" i="1"/>
  <c r="O77" i="1"/>
  <c r="B77" i="1"/>
  <c r="N77" i="1"/>
  <c r="Q76" i="1"/>
  <c r="N76" i="1"/>
  <c r="G76" i="1"/>
  <c r="M76" i="1"/>
  <c r="D76" i="1"/>
  <c r="P76" i="1"/>
  <c r="C76" i="1"/>
  <c r="O76" i="1"/>
  <c r="Q73" i="1"/>
  <c r="P73" i="1"/>
  <c r="O73" i="1"/>
  <c r="N73" i="1"/>
  <c r="G73" i="1"/>
  <c r="M73" i="1"/>
  <c r="P72" i="1"/>
  <c r="O72" i="1"/>
  <c r="N72" i="1"/>
  <c r="G72" i="1"/>
  <c r="M72" i="1" s="1"/>
  <c r="E72" i="1"/>
  <c r="Q72" i="1"/>
  <c r="N71" i="1"/>
  <c r="G71" i="1"/>
  <c r="M71" i="1"/>
  <c r="E71" i="1"/>
  <c r="Q71" i="1"/>
  <c r="D71" i="1"/>
  <c r="P71" i="1"/>
  <c r="C71" i="1"/>
  <c r="O71" i="1"/>
  <c r="O70" i="1"/>
  <c r="N70" i="1"/>
  <c r="G70" i="1"/>
  <c r="M70" i="1"/>
  <c r="E70" i="1"/>
  <c r="Q70" i="1"/>
  <c r="D70" i="1"/>
  <c r="P70" i="1"/>
  <c r="N69" i="1"/>
  <c r="G69" i="1"/>
  <c r="M69" i="1" s="1"/>
  <c r="E69" i="1"/>
  <c r="Q69" i="1" s="1"/>
  <c r="D69" i="1"/>
  <c r="P69" i="1" s="1"/>
  <c r="C69" i="1"/>
  <c r="O69" i="1" s="1"/>
  <c r="N68" i="1"/>
  <c r="G68" i="1"/>
  <c r="M68" i="1"/>
  <c r="E68" i="1"/>
  <c r="Q68" i="1"/>
  <c r="D68" i="1"/>
  <c r="P68" i="1"/>
  <c r="C68" i="1"/>
  <c r="O68" i="1"/>
  <c r="P67" i="1"/>
  <c r="N67" i="1"/>
  <c r="G67" i="1"/>
  <c r="M67" i="1"/>
  <c r="E67" i="1"/>
  <c r="Q67" i="1"/>
  <c r="C67" i="1"/>
  <c r="O67" i="1"/>
  <c r="P66" i="1"/>
  <c r="O66" i="1"/>
  <c r="N66" i="1"/>
  <c r="G66" i="1"/>
  <c r="M66" i="1"/>
  <c r="E66" i="1"/>
  <c r="Q66" i="1" s="1"/>
  <c r="Q65" i="1"/>
  <c r="P65" i="1"/>
  <c r="O65" i="1"/>
  <c r="N65" i="1"/>
  <c r="U65" i="1" s="1"/>
  <c r="M65" i="1"/>
  <c r="G65" i="1"/>
  <c r="Q62" i="1"/>
  <c r="P62" i="1"/>
  <c r="O62" i="1"/>
  <c r="H62" i="1"/>
  <c r="N62" i="1"/>
  <c r="G62" i="1"/>
  <c r="M62" i="1"/>
  <c r="Q61" i="1"/>
  <c r="P61" i="1"/>
  <c r="O61" i="1"/>
  <c r="N61" i="1"/>
  <c r="G61" i="1"/>
  <c r="M61" i="1"/>
  <c r="N60" i="1"/>
  <c r="G60" i="1"/>
  <c r="M60" i="1" s="1"/>
  <c r="E60" i="1"/>
  <c r="Q60" i="1"/>
  <c r="D60" i="1"/>
  <c r="P60" i="1" s="1"/>
  <c r="C60" i="1"/>
  <c r="O60" i="1" s="1"/>
  <c r="N59" i="1"/>
  <c r="M59" i="1"/>
  <c r="G59" i="1"/>
  <c r="E59" i="1"/>
  <c r="Q59" i="1"/>
  <c r="D59" i="1"/>
  <c r="P59" i="1" s="1"/>
  <c r="C59" i="1"/>
  <c r="O59" i="1"/>
  <c r="P58" i="1"/>
  <c r="O58" i="1"/>
  <c r="N58" i="1"/>
  <c r="J58" i="1"/>
  <c r="G58" i="1"/>
  <c r="M58" i="1" s="1"/>
  <c r="E58" i="1"/>
  <c r="Q58" i="1"/>
  <c r="N57" i="1"/>
  <c r="G57" i="1"/>
  <c r="M57" i="1" s="1"/>
  <c r="E57" i="1"/>
  <c r="Q57" i="1"/>
  <c r="D57" i="1"/>
  <c r="P57" i="1" s="1"/>
  <c r="C57" i="1"/>
  <c r="O57" i="1" s="1"/>
  <c r="P56" i="1"/>
  <c r="N56" i="1"/>
  <c r="M56" i="1"/>
  <c r="G56" i="1"/>
  <c r="E56" i="1"/>
  <c r="Q56" i="1" s="1"/>
  <c r="C56" i="1"/>
  <c r="O56" i="1" s="1"/>
  <c r="Q55" i="1"/>
  <c r="P55" i="1"/>
  <c r="O55" i="1"/>
  <c r="N55" i="1"/>
  <c r="G55" i="1"/>
  <c r="M55" i="1" s="1"/>
  <c r="Q54" i="1"/>
  <c r="P54" i="1"/>
  <c r="I54" i="1"/>
  <c r="O54" i="1" s="1"/>
  <c r="H54" i="1"/>
  <c r="N54" i="1"/>
  <c r="G54" i="1"/>
  <c r="M54" i="1" s="1"/>
  <c r="Q51" i="1"/>
  <c r="P51" i="1"/>
  <c r="O51" i="1"/>
  <c r="H51" i="1"/>
  <c r="N51" i="1" s="1"/>
  <c r="G51" i="1"/>
  <c r="M51" i="1" s="1"/>
  <c r="Q50" i="1"/>
  <c r="P50" i="1"/>
  <c r="I50" i="1"/>
  <c r="O50" i="1" s="1"/>
  <c r="H50" i="1"/>
  <c r="N50" i="1"/>
  <c r="G50" i="1"/>
  <c r="M50" i="1" s="1"/>
  <c r="N49" i="1"/>
  <c r="G49" i="1"/>
  <c r="M49" i="1" s="1"/>
  <c r="E49" i="1"/>
  <c r="Q49" i="1" s="1"/>
  <c r="D49" i="1"/>
  <c r="P49" i="1"/>
  <c r="C49" i="1"/>
  <c r="O49" i="1" s="1"/>
  <c r="N48" i="1"/>
  <c r="G48" i="1"/>
  <c r="M48" i="1"/>
  <c r="E48" i="1"/>
  <c r="Q48" i="1"/>
  <c r="D48" i="1"/>
  <c r="P48" i="1"/>
  <c r="C48" i="1"/>
  <c r="O48" i="1"/>
  <c r="J47" i="1"/>
  <c r="P47" i="1" s="1"/>
  <c r="I47" i="1"/>
  <c r="H47" i="1"/>
  <c r="N47" i="1"/>
  <c r="G47" i="1"/>
  <c r="M47" i="1" s="1"/>
  <c r="Q47" i="1"/>
  <c r="O47" i="1"/>
  <c r="P46" i="1"/>
  <c r="I46" i="1"/>
  <c r="O46" i="1" s="1"/>
  <c r="H46" i="1"/>
  <c r="N46" i="1" s="1"/>
  <c r="G46" i="1"/>
  <c r="M46" i="1"/>
  <c r="E46" i="1"/>
  <c r="Q46" i="1" s="1"/>
  <c r="J45" i="1"/>
  <c r="P45" i="1" s="1"/>
  <c r="I45" i="1"/>
  <c r="O45" i="1" s="1"/>
  <c r="H45" i="1"/>
  <c r="N45" i="1"/>
  <c r="G45" i="1"/>
  <c r="M45" i="1" s="1"/>
  <c r="E45" i="1"/>
  <c r="Q45" i="1"/>
  <c r="Q44" i="1"/>
  <c r="J44" i="1"/>
  <c r="P44" i="1" s="1"/>
  <c r="I44" i="1"/>
  <c r="H44" i="1"/>
  <c r="N44" i="1"/>
  <c r="G44" i="1"/>
  <c r="M44" i="1"/>
  <c r="E44" i="1"/>
  <c r="C44" i="1"/>
  <c r="Q41" i="1"/>
  <c r="P41" i="1"/>
  <c r="I41" i="1"/>
  <c r="O41" i="1" s="1"/>
  <c r="H41" i="1"/>
  <c r="N41" i="1" s="1"/>
  <c r="G41" i="1"/>
  <c r="M41" i="1"/>
  <c r="Q40" i="1"/>
  <c r="P40" i="1"/>
  <c r="I40" i="1"/>
  <c r="O40" i="1" s="1"/>
  <c r="H40" i="1"/>
  <c r="N40" i="1" s="1"/>
  <c r="G40" i="1"/>
  <c r="M40" i="1" s="1"/>
  <c r="P39" i="1"/>
  <c r="N39" i="1"/>
  <c r="G39" i="1"/>
  <c r="M39" i="1" s="1"/>
  <c r="E39" i="1"/>
  <c r="Q39" i="1"/>
  <c r="C39" i="1"/>
  <c r="O39" i="1" s="1"/>
  <c r="N38" i="1"/>
  <c r="G38" i="1"/>
  <c r="M38" i="1" s="1"/>
  <c r="E38" i="1"/>
  <c r="Q38" i="1" s="1"/>
  <c r="D38" i="1"/>
  <c r="P38" i="1"/>
  <c r="C38" i="1"/>
  <c r="O38" i="1" s="1"/>
  <c r="M37" i="1"/>
  <c r="J37" i="1"/>
  <c r="P37" i="1" s="1"/>
  <c r="I37" i="1"/>
  <c r="O37" i="1" s="1"/>
  <c r="H37" i="1"/>
  <c r="N37" i="1"/>
  <c r="G37" i="1"/>
  <c r="E37" i="1"/>
  <c r="Q37" i="1" s="1"/>
  <c r="C37" i="1"/>
  <c r="P36" i="1"/>
  <c r="H36" i="1"/>
  <c r="N36" i="1" s="1"/>
  <c r="G36" i="1"/>
  <c r="M36" i="1"/>
  <c r="C36" i="1"/>
  <c r="O36" i="1" s="1"/>
  <c r="I35" i="1"/>
  <c r="O35" i="1" s="1"/>
  <c r="H35" i="1"/>
  <c r="N35" i="1"/>
  <c r="G35" i="1"/>
  <c r="M35" i="1" s="1"/>
  <c r="E35" i="1"/>
  <c r="Q35" i="1"/>
  <c r="D35" i="1"/>
  <c r="P35" i="1" s="1"/>
  <c r="P34" i="1"/>
  <c r="I34" i="1"/>
  <c r="O34" i="1" s="1"/>
  <c r="H34" i="1"/>
  <c r="N34" i="1" s="1"/>
  <c r="U34" i="1" s="1"/>
  <c r="G34" i="1"/>
  <c r="M34" i="1" s="1"/>
  <c r="E34" i="1"/>
  <c r="Q34" i="1"/>
  <c r="Q31" i="1"/>
  <c r="O31" i="1"/>
  <c r="J31" i="1"/>
  <c r="P31" i="1"/>
  <c r="H31" i="1"/>
  <c r="N31" i="1" s="1"/>
  <c r="G31" i="1"/>
  <c r="M31" i="1"/>
  <c r="Q30" i="1"/>
  <c r="J30" i="1"/>
  <c r="P30" i="1"/>
  <c r="I30" i="1"/>
  <c r="O30" i="1" s="1"/>
  <c r="H30" i="1"/>
  <c r="N30" i="1" s="1"/>
  <c r="G30" i="1"/>
  <c r="M30" i="1" s="1"/>
  <c r="P29" i="1"/>
  <c r="N29" i="1"/>
  <c r="G29" i="1"/>
  <c r="M29" i="1" s="1"/>
  <c r="E29" i="1"/>
  <c r="Q29" i="1"/>
  <c r="C29" i="1"/>
  <c r="O29" i="1" s="1"/>
  <c r="N28" i="1"/>
  <c r="G28" i="1"/>
  <c r="M28" i="1" s="1"/>
  <c r="E28" i="1"/>
  <c r="Q28" i="1" s="1"/>
  <c r="D28" i="1"/>
  <c r="P28" i="1"/>
  <c r="C28" i="1"/>
  <c r="O28" i="1" s="1"/>
  <c r="J27" i="1"/>
  <c r="P27" i="1" s="1"/>
  <c r="I27" i="1"/>
  <c r="H27" i="1"/>
  <c r="N27" i="1" s="1"/>
  <c r="G27" i="1"/>
  <c r="M27" i="1" s="1"/>
  <c r="Q27" i="1"/>
  <c r="J26" i="1"/>
  <c r="P26" i="1"/>
  <c r="I26" i="1"/>
  <c r="H26" i="1"/>
  <c r="N26" i="1" s="1"/>
  <c r="G26" i="1"/>
  <c r="M26" i="1" s="1"/>
  <c r="E26" i="1"/>
  <c r="Q26" i="1" s="1"/>
  <c r="C26" i="1"/>
  <c r="O25" i="1"/>
  <c r="J25" i="1"/>
  <c r="I25" i="1"/>
  <c r="H25" i="1"/>
  <c r="N25" i="1" s="1"/>
  <c r="G25" i="1"/>
  <c r="M25" i="1" s="1"/>
  <c r="E25" i="1"/>
  <c r="Q25" i="1"/>
  <c r="D25" i="1"/>
  <c r="P25" i="1" s="1"/>
  <c r="I24" i="1"/>
  <c r="O24" i="1" s="1"/>
  <c r="H24" i="1"/>
  <c r="N24" i="1"/>
  <c r="G24" i="1"/>
  <c r="M24" i="1"/>
  <c r="E24" i="1"/>
  <c r="Q24" i="1"/>
  <c r="D24" i="1"/>
  <c r="P24" i="1"/>
  <c r="C24" i="1"/>
  <c r="Q21" i="1"/>
  <c r="P21" i="1"/>
  <c r="O21" i="1"/>
  <c r="N21" i="1"/>
  <c r="G21" i="1"/>
  <c r="M21" i="1"/>
  <c r="Q20" i="1"/>
  <c r="P20" i="1"/>
  <c r="O20" i="1"/>
  <c r="N20" i="1"/>
  <c r="G20" i="1"/>
  <c r="M20" i="1"/>
  <c r="P19" i="1"/>
  <c r="O19" i="1"/>
  <c r="N19" i="1"/>
  <c r="M19" i="1"/>
  <c r="G19" i="1"/>
  <c r="E19" i="1"/>
  <c r="Q19" i="1" s="1"/>
  <c r="C19" i="1"/>
  <c r="N18" i="1"/>
  <c r="M18" i="1"/>
  <c r="G18" i="1"/>
  <c r="E18" i="1"/>
  <c r="Q18" i="1" s="1"/>
  <c r="P18" i="1"/>
  <c r="C18" i="1"/>
  <c r="O18" i="1" s="1"/>
  <c r="O17" i="1"/>
  <c r="H17" i="1"/>
  <c r="N17" i="1" s="1"/>
  <c r="G17" i="1"/>
  <c r="M17" i="1" s="1"/>
  <c r="Q17" i="1"/>
  <c r="O16" i="1"/>
  <c r="H16" i="1"/>
  <c r="N16" i="1" s="1"/>
  <c r="G16" i="1"/>
  <c r="M16" i="1"/>
  <c r="Q16" i="1"/>
  <c r="P15" i="1"/>
  <c r="I15" i="1"/>
  <c r="O15" i="1"/>
  <c r="H15" i="1"/>
  <c r="N15" i="1" s="1"/>
  <c r="G15" i="1"/>
  <c r="M15" i="1"/>
  <c r="E15" i="1"/>
  <c r="Q15" i="1" s="1"/>
  <c r="H14" i="1"/>
  <c r="N14" i="1" s="1"/>
  <c r="G14" i="1"/>
  <c r="M14" i="1"/>
  <c r="C14" i="1"/>
  <c r="O14" i="1" s="1"/>
  <c r="J11" i="1"/>
  <c r="P11" i="1" s="1"/>
  <c r="I11" i="1"/>
  <c r="O11" i="1" s="1"/>
  <c r="H11" i="1"/>
  <c r="N11" i="1" s="1"/>
  <c r="G11" i="1"/>
  <c r="M11" i="1" s="1"/>
  <c r="J10" i="1"/>
  <c r="P10" i="1" s="1"/>
  <c r="I10" i="1"/>
  <c r="O10" i="1" s="1"/>
  <c r="H10" i="1"/>
  <c r="N10" i="1" s="1"/>
  <c r="G10" i="1"/>
  <c r="M10" i="1"/>
  <c r="G9" i="1"/>
  <c r="M9" i="1" s="1"/>
  <c r="E9" i="1"/>
  <c r="Q9" i="1" s="1"/>
  <c r="D9" i="1"/>
  <c r="P9" i="1" s="1"/>
  <c r="C9" i="1"/>
  <c r="O9" i="1" s="1"/>
  <c r="M8" i="1"/>
  <c r="G8" i="1"/>
  <c r="E8" i="1"/>
  <c r="Q8" i="1" s="1"/>
  <c r="D8" i="1"/>
  <c r="P8" i="1" s="1"/>
  <c r="C8" i="1"/>
  <c r="O8" i="1" s="1"/>
  <c r="H7" i="1"/>
  <c r="N7" i="1" s="1"/>
  <c r="G7" i="1"/>
  <c r="M7" i="1"/>
  <c r="C7" i="1"/>
  <c r="O7" i="1" s="1"/>
  <c r="I6" i="1"/>
  <c r="H6" i="1"/>
  <c r="N6" i="1" s="1"/>
  <c r="G6" i="1"/>
  <c r="M6" i="1" s="1"/>
  <c r="E6" i="1"/>
  <c r="Q6" i="1" s="1"/>
  <c r="C6" i="1"/>
  <c r="O6" i="1" s="1"/>
  <c r="J5" i="1"/>
  <c r="I5" i="1"/>
  <c r="H5" i="1"/>
  <c r="N5" i="1" s="1"/>
  <c r="G5" i="1"/>
  <c r="M5" i="1"/>
  <c r="I4" i="1"/>
  <c r="O4" i="1" s="1"/>
  <c r="H4" i="1"/>
  <c r="N4" i="1" s="1"/>
  <c r="G4" i="1"/>
  <c r="M4" i="1"/>
  <c r="I48" i="3"/>
  <c r="E4" i="4" s="1"/>
  <c r="U31" i="2"/>
  <c r="O26" i="1"/>
  <c r="O44" i="1"/>
  <c r="O27" i="1"/>
  <c r="U14" i="1" l="1"/>
  <c r="P5" i="1"/>
  <c r="U8" i="2"/>
  <c r="U76" i="1"/>
  <c r="O5" i="1"/>
  <c r="U104" i="1" s="1"/>
  <c r="U44" i="1"/>
  <c r="U86" i="1"/>
  <c r="U4" i="2"/>
  <c r="U39" i="2"/>
  <c r="U22" i="2"/>
  <c r="U24" i="1"/>
  <c r="U54" i="1"/>
  <c r="U15" i="2"/>
  <c r="U18" i="2"/>
  <c r="U4" i="1" l="1"/>
  <c r="U106" i="1" s="1"/>
  <c r="E2" i="4" s="1"/>
  <c r="E6" i="4" s="1"/>
  <c r="U42" i="2"/>
  <c r="E3" i="4" s="1"/>
</calcChain>
</file>

<file path=xl/sharedStrings.xml><?xml version="1.0" encoding="utf-8"?>
<sst xmlns="http://schemas.openxmlformats.org/spreadsheetml/2006/main" count="507" uniqueCount="123">
  <si>
    <t>INVENTARIO 2025</t>
  </si>
  <si>
    <t>SOMMA</t>
  </si>
  <si>
    <t>1177-001</t>
  </si>
  <si>
    <t>S</t>
  </si>
  <si>
    <t>M</t>
  </si>
  <si>
    <t>L</t>
  </si>
  <si>
    <t>XL</t>
  </si>
  <si>
    <t>1177-002</t>
  </si>
  <si>
    <t>AVIATOR ORIENT</t>
  </si>
  <si>
    <t>NAVY AVIATOR</t>
  </si>
  <si>
    <t>INK PEWTER</t>
  </si>
  <si>
    <t>IRON INK</t>
  </si>
  <si>
    <t>OLIVINE COFFEE</t>
  </si>
  <si>
    <t>COFFEE OLIVINE</t>
  </si>
  <si>
    <t>PEWTER RARPBERRY</t>
  </si>
  <si>
    <t>RASPBERRY PEWTER</t>
  </si>
  <si>
    <t>1177-010</t>
  </si>
  <si>
    <t>1177-030</t>
  </si>
  <si>
    <t>1177-011</t>
  </si>
  <si>
    <t>1177-031</t>
  </si>
  <si>
    <t>1177-012</t>
  </si>
  <si>
    <t>1177-032</t>
  </si>
  <si>
    <t>1177-013</t>
  </si>
  <si>
    <t>1177-033</t>
  </si>
  <si>
    <t>1177-014</t>
  </si>
  <si>
    <t>1177-034</t>
  </si>
  <si>
    <t>AVIATOR BUTTERCUP</t>
  </si>
  <si>
    <t>AVIATOR SKYDIVER</t>
  </si>
  <si>
    <t>COFFEE TANGERINE</t>
  </si>
  <si>
    <t>INK OCEAN</t>
  </si>
  <si>
    <t>IRON SKYDIVER</t>
  </si>
  <si>
    <t>NAVY GRAPE</t>
  </si>
  <si>
    <t>OLIVINE ORIENT</t>
  </si>
  <si>
    <t>PEWTER BUTTERCUP</t>
  </si>
  <si>
    <t>PEWTER SCARLET</t>
  </si>
  <si>
    <t>1177-015</t>
  </si>
  <si>
    <t>1177-035</t>
  </si>
  <si>
    <t>1177-020</t>
  </si>
  <si>
    <t>1177-040</t>
  </si>
  <si>
    <t>1177-021</t>
  </si>
  <si>
    <t>1177-041</t>
  </si>
  <si>
    <t>1177-036</t>
  </si>
  <si>
    <t>MULTICOLOR</t>
  </si>
  <si>
    <t xml:space="preserve">IRON  </t>
  </si>
  <si>
    <t>AVIATOR</t>
  </si>
  <si>
    <t>INK</t>
  </si>
  <si>
    <t>TOTALE</t>
  </si>
  <si>
    <t>Paia Totali</t>
  </si>
  <si>
    <t>SOTTOPIEDE</t>
  </si>
  <si>
    <t>LUNGO LISCIO</t>
  </si>
  <si>
    <t>CORTO LISCIO</t>
  </si>
  <si>
    <t>LUNGO COSTINE</t>
  </si>
  <si>
    <t>CORTO COSTINE</t>
  </si>
  <si>
    <t>LUNGO POP COSTINE</t>
  </si>
  <si>
    <t>CORTO POP COSTINE</t>
  </si>
  <si>
    <t>LUNGO PIXEL</t>
  </si>
  <si>
    <t>CORTO PIXEL</t>
  </si>
  <si>
    <t>COLLANT PIXEL</t>
  </si>
  <si>
    <t>COLLANT CLASSICO</t>
  </si>
  <si>
    <t>1177-071</t>
  </si>
  <si>
    <t>1177-081</t>
  </si>
  <si>
    <t>MULTICOLOR WHITE</t>
  </si>
  <si>
    <t>MULTICOLOR BLACK</t>
  </si>
  <si>
    <t>1177-072</t>
  </si>
  <si>
    <t>1177-082</t>
  </si>
  <si>
    <t>MULTISTRIPES WHITE</t>
  </si>
  <si>
    <t>MULTISTRIPES BLACK</t>
  </si>
  <si>
    <t>1177-073</t>
  </si>
  <si>
    <t>1177-083</t>
  </si>
  <si>
    <t>MEGA SQUARE</t>
  </si>
  <si>
    <t>1177-074</t>
  </si>
  <si>
    <t>1177-084</t>
  </si>
  <si>
    <t>MULTICOLOR ORIENT</t>
  </si>
  <si>
    <t>1177-075</t>
  </si>
  <si>
    <t>1177-085</t>
  </si>
  <si>
    <t>SCARLET</t>
  </si>
  <si>
    <t>ROYAL</t>
  </si>
  <si>
    <t>1177-076</t>
  </si>
  <si>
    <t>1177-086</t>
  </si>
  <si>
    <t>MULTICOLOR PLAIN</t>
  </si>
  <si>
    <t>GREY PLAIN</t>
  </si>
  <si>
    <t>1177-077</t>
  </si>
  <si>
    <t>1177-087</t>
  </si>
  <si>
    <t>PIXEL GREY</t>
  </si>
  <si>
    <t>PIXEL PORT</t>
  </si>
  <si>
    <t>PIXEL KAKI</t>
  </si>
  <si>
    <t>1177-110</t>
  </si>
  <si>
    <t>1177-130</t>
  </si>
  <si>
    <t>AVIATOR FREESIA</t>
  </si>
  <si>
    <t>INK SILVER</t>
  </si>
  <si>
    <t>MINT AVIATOR</t>
  </si>
  <si>
    <t>ICE AVIATOR</t>
  </si>
  <si>
    <t>PORT RASPBERRY</t>
  </si>
  <si>
    <t>JASPER AVIATOR</t>
  </si>
  <si>
    <t>PORT URBAN</t>
  </si>
  <si>
    <t>1177-607</t>
  </si>
  <si>
    <t>MIX1</t>
  </si>
  <si>
    <t>MIX2</t>
  </si>
  <si>
    <t>MIX3</t>
  </si>
  <si>
    <t>1177-622</t>
  </si>
  <si>
    <t>ORIENT</t>
  </si>
  <si>
    <t>PORT</t>
  </si>
  <si>
    <t>JASPER</t>
  </si>
  <si>
    <t>IRON</t>
  </si>
  <si>
    <t>1177-201</t>
  </si>
  <si>
    <t>COFFEE</t>
  </si>
  <si>
    <t>1177-547</t>
  </si>
  <si>
    <t>OS</t>
  </si>
  <si>
    <t>MINT</t>
  </si>
  <si>
    <t>ICE</t>
  </si>
  <si>
    <t>1177-554</t>
  </si>
  <si>
    <t>GRAPE</t>
  </si>
  <si>
    <t>1177-603</t>
  </si>
  <si>
    <t>SILVER</t>
  </si>
  <si>
    <t>1177-509</t>
  </si>
  <si>
    <t>SKYDIVER</t>
  </si>
  <si>
    <t>1177-510</t>
  </si>
  <si>
    <t>TOTALE VALORE</t>
  </si>
  <si>
    <t>BASICI</t>
  </si>
  <si>
    <t>ACTIVE</t>
  </si>
  <si>
    <t>FANTASIE</t>
  </si>
  <si>
    <t>TOTALE PAIA</t>
  </si>
  <si>
    <t>PREZZI AL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</si>
</sst>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4" borderId="1" xfId="0" applyFill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4" borderId="2" xfId="0" applyFill="1" applyBorder="1"/>
    <xf numFmtId="0" fontId="2" fillId="2" borderId="0" xfId="0" applyFont="1" applyFill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1" fillId="5" borderId="0" xfId="0" applyFont="1" applyFill="1" applyAlignment="1">
      <alignment horizontal="right"/>
    </xf>
    <xf numFmtId="4" fontId="1" fillId="5" borderId="0" xfId="0" applyNumberFormat="1" applyFont="1" applyFill="1"/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horizontal="right"/>
    </xf>
    <xf numFmtId="4" fontId="1" fillId="5" borderId="0" xfId="0" applyNumberFormat="1" applyFont="1" applyFill="1" applyAlignment="1">
      <alignment horizontal="right"/>
    </xf>
    <xf numFmtId="0" fontId="2" fillId="0" borderId="0" xfId="0" applyFont="1"/>
    <xf numFmtId="2" fontId="0" fillId="0" borderId="1" xfId="0" applyNumberFormat="1" applyBorder="1"/>
    <xf numFmtId="2" fontId="0" fillId="3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jpeg"/><Relationship Id="rId4" Type="http://schemas.openxmlformats.org/officeDocument/2006/relationships/image" Target="../media/image16.jpe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561975</xdr:colOff>
      <xdr:row>2</xdr:row>
      <xdr:rowOff>19050</xdr:rowOff>
    </xdr:from>
    <xdr:to>
      <xdr:col>36</xdr:col>
      <xdr:colOff>304800</xdr:colOff>
      <xdr:row>27</xdr:row>
      <xdr:rowOff>85725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78300" y="400050"/>
          <a:ext cx="8601075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581025</xdr:colOff>
      <xdr:row>32</xdr:row>
      <xdr:rowOff>0</xdr:rowOff>
    </xdr:from>
    <xdr:to>
      <xdr:col>35</xdr:col>
      <xdr:colOff>552450</xdr:colOff>
      <xdr:row>57</xdr:row>
      <xdr:rowOff>57150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97350" y="6096000"/>
          <a:ext cx="8239125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</xdr:colOff>
      <xdr:row>63</xdr:row>
      <xdr:rowOff>0</xdr:rowOff>
    </xdr:from>
    <xdr:to>
      <xdr:col>36</xdr:col>
      <xdr:colOff>200025</xdr:colOff>
      <xdr:row>89</xdr:row>
      <xdr:rowOff>47625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35450" y="12001500"/>
          <a:ext cx="8439150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94</xdr:row>
      <xdr:rowOff>47625</xdr:rowOff>
    </xdr:from>
    <xdr:to>
      <xdr:col>23</xdr:col>
      <xdr:colOff>190500</xdr:colOff>
      <xdr:row>98</xdr:row>
      <xdr:rowOff>190500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06875" y="17954625"/>
          <a:ext cx="7810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438150</xdr:colOff>
      <xdr:row>94</xdr:row>
      <xdr:rowOff>38100</xdr:rowOff>
    </xdr:from>
    <xdr:to>
      <xdr:col>24</xdr:col>
      <xdr:colOff>600075</xdr:colOff>
      <xdr:row>98</xdr:row>
      <xdr:rowOff>180975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935575" y="17945100"/>
          <a:ext cx="7429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152400</xdr:colOff>
      <xdr:row>94</xdr:row>
      <xdr:rowOff>0</xdr:rowOff>
    </xdr:from>
    <xdr:to>
      <xdr:col>26</xdr:col>
      <xdr:colOff>390525</xdr:colOff>
      <xdr:row>98</xdr:row>
      <xdr:rowOff>180975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30925" y="17907000"/>
          <a:ext cx="8286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590550</xdr:colOff>
      <xdr:row>94</xdr:row>
      <xdr:rowOff>9525</xdr:rowOff>
    </xdr:from>
    <xdr:to>
      <xdr:col>28</xdr:col>
      <xdr:colOff>180975</xdr:colOff>
      <xdr:row>98</xdr:row>
      <xdr:rowOff>161925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859625" y="17916525"/>
          <a:ext cx="7715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38100</xdr:colOff>
      <xdr:row>99</xdr:row>
      <xdr:rowOff>190500</xdr:rowOff>
    </xdr:from>
    <xdr:to>
      <xdr:col>23</xdr:col>
      <xdr:colOff>171450</xdr:colOff>
      <xdr:row>104</xdr:row>
      <xdr:rowOff>66675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44975" y="19050000"/>
          <a:ext cx="723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438150</xdr:colOff>
      <xdr:row>99</xdr:row>
      <xdr:rowOff>142875</xdr:rowOff>
    </xdr:from>
    <xdr:to>
      <xdr:col>25</xdr:col>
      <xdr:colOff>28575</xdr:colOff>
      <xdr:row>104</xdr:row>
      <xdr:rowOff>85725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935575" y="19002375"/>
          <a:ext cx="7715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2</xdr:row>
      <xdr:rowOff>0</xdr:rowOff>
    </xdr:from>
    <xdr:to>
      <xdr:col>23</xdr:col>
      <xdr:colOff>552450</xdr:colOff>
      <xdr:row>19</xdr:row>
      <xdr:rowOff>28575</xdr:rowOff>
    </xdr:to>
    <xdr:pic>
      <xdr:nvPicPr>
        <xdr:cNvPr id="2049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06800" y="381000"/>
          <a:ext cx="114300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19</xdr:row>
      <xdr:rowOff>190500</xdr:rowOff>
    </xdr:from>
    <xdr:to>
      <xdr:col>24</xdr:col>
      <xdr:colOff>542925</xdr:colOff>
      <xdr:row>26</xdr:row>
      <xdr:rowOff>114300</xdr:rowOff>
    </xdr:to>
    <xdr:pic>
      <xdr:nvPicPr>
        <xdr:cNvPr id="2050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65421" b="34912"/>
        <a:stretch>
          <a:fillRect/>
        </a:stretch>
      </xdr:blipFill>
      <xdr:spPr bwMode="auto">
        <a:xfrm>
          <a:off x="16306800" y="3810000"/>
          <a:ext cx="1724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28</xdr:row>
      <xdr:rowOff>190500</xdr:rowOff>
    </xdr:from>
    <xdr:to>
      <xdr:col>30</xdr:col>
      <xdr:colOff>438150</xdr:colOff>
      <xdr:row>32</xdr:row>
      <xdr:rowOff>0</xdr:rowOff>
    </xdr:to>
    <xdr:pic>
      <xdr:nvPicPr>
        <xdr:cNvPr id="2051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306800" y="5524500"/>
          <a:ext cx="516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</xdr:row>
      <xdr:rowOff>0</xdr:rowOff>
    </xdr:from>
    <xdr:to>
      <xdr:col>14</xdr:col>
      <xdr:colOff>371475</xdr:colOff>
      <xdr:row>6</xdr:row>
      <xdr:rowOff>133350</xdr:rowOff>
    </xdr:to>
    <xdr:pic>
      <xdr:nvPicPr>
        <xdr:cNvPr id="3073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381000"/>
          <a:ext cx="26955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361950</xdr:colOff>
      <xdr:row>7</xdr:row>
      <xdr:rowOff>47625</xdr:rowOff>
    </xdr:from>
    <xdr:to>
      <xdr:col>13</xdr:col>
      <xdr:colOff>9525</xdr:colOff>
      <xdr:row>11</xdr:row>
      <xdr:rowOff>104775</xdr:rowOff>
    </xdr:to>
    <xdr:pic>
      <xdr:nvPicPr>
        <xdr:cNvPr id="3074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75294" t="8594" r="3294" b="9283"/>
        <a:stretch>
          <a:fillRect/>
        </a:stretch>
      </xdr:blipFill>
      <xdr:spPr bwMode="auto">
        <a:xfrm>
          <a:off x="8934450" y="138112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7</xdr:row>
      <xdr:rowOff>76200</xdr:rowOff>
    </xdr:from>
    <xdr:to>
      <xdr:col>11</xdr:col>
      <xdr:colOff>228600</xdr:colOff>
      <xdr:row>11</xdr:row>
      <xdr:rowOff>95250</xdr:rowOff>
    </xdr:to>
    <xdr:pic>
      <xdr:nvPicPr>
        <xdr:cNvPr id="3075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39100" y="1409700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609600</xdr:colOff>
      <xdr:row>7</xdr:row>
      <xdr:rowOff>38100</xdr:rowOff>
    </xdr:from>
    <xdr:to>
      <xdr:col>14</xdr:col>
      <xdr:colOff>238125</xdr:colOff>
      <xdr:row>11</xdr:row>
      <xdr:rowOff>123825</xdr:rowOff>
    </xdr:to>
    <xdr:pic>
      <xdr:nvPicPr>
        <xdr:cNvPr id="3076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53600" y="1371600"/>
          <a:ext cx="8286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314325</xdr:colOff>
      <xdr:row>7</xdr:row>
      <xdr:rowOff>47625</xdr:rowOff>
    </xdr:from>
    <xdr:to>
      <xdr:col>15</xdr:col>
      <xdr:colOff>571500</xdr:colOff>
      <xdr:row>11</xdr:row>
      <xdr:rowOff>76200</xdr:rowOff>
    </xdr:to>
    <xdr:pic>
      <xdr:nvPicPr>
        <xdr:cNvPr id="3077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116" t="9550" r="76469" b="11192"/>
        <a:stretch>
          <a:fillRect/>
        </a:stretch>
      </xdr:blipFill>
      <xdr:spPr bwMode="auto">
        <a:xfrm>
          <a:off x="10658475" y="1381125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</xdr:colOff>
      <xdr:row>13</xdr:row>
      <xdr:rowOff>19050</xdr:rowOff>
    </xdr:from>
    <xdr:to>
      <xdr:col>11</xdr:col>
      <xdr:colOff>161925</xdr:colOff>
      <xdr:row>17</xdr:row>
      <xdr:rowOff>57150</xdr:rowOff>
    </xdr:to>
    <xdr:pic>
      <xdr:nvPicPr>
        <xdr:cNvPr id="307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4406" t="21356" r="26440" b="26102"/>
        <a:stretch>
          <a:fillRect/>
        </a:stretch>
      </xdr:blipFill>
      <xdr:spPr bwMode="auto">
        <a:xfrm>
          <a:off x="8001000" y="2495550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600075</xdr:colOff>
      <xdr:row>17</xdr:row>
      <xdr:rowOff>180975</xdr:rowOff>
    </xdr:from>
    <xdr:to>
      <xdr:col>16</xdr:col>
      <xdr:colOff>504825</xdr:colOff>
      <xdr:row>23</xdr:row>
      <xdr:rowOff>28575</xdr:rowOff>
    </xdr:to>
    <xdr:pic>
      <xdr:nvPicPr>
        <xdr:cNvPr id="3079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81950" y="3419475"/>
          <a:ext cx="4048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13</xdr:col>
      <xdr:colOff>485775</xdr:colOff>
      <xdr:row>29</xdr:row>
      <xdr:rowOff>161925</xdr:rowOff>
    </xdr:to>
    <xdr:pic>
      <xdr:nvPicPr>
        <xdr:cNvPr id="3080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81950" y="4572000"/>
          <a:ext cx="2257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30</xdr:row>
      <xdr:rowOff>47625</xdr:rowOff>
    </xdr:from>
    <xdr:to>
      <xdr:col>11</xdr:col>
      <xdr:colOff>142875</xdr:colOff>
      <xdr:row>34</xdr:row>
      <xdr:rowOff>38100</xdr:rowOff>
    </xdr:to>
    <xdr:pic>
      <xdr:nvPicPr>
        <xdr:cNvPr id="3081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81950" y="5762625"/>
          <a:ext cx="733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39</xdr:row>
      <xdr:rowOff>9525</xdr:rowOff>
    </xdr:from>
    <xdr:to>
      <xdr:col>13</xdr:col>
      <xdr:colOff>123825</xdr:colOff>
      <xdr:row>43</xdr:row>
      <xdr:rowOff>104775</xdr:rowOff>
    </xdr:to>
    <xdr:pic>
      <xdr:nvPicPr>
        <xdr:cNvPr id="3082" name="Immagin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56024"/>
        <a:stretch>
          <a:fillRect/>
        </a:stretch>
      </xdr:blipFill>
      <xdr:spPr bwMode="auto">
        <a:xfrm>
          <a:off x="8048625" y="7439025"/>
          <a:ext cx="18288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34</xdr:row>
      <xdr:rowOff>142875</xdr:rowOff>
    </xdr:from>
    <xdr:to>
      <xdr:col>11</xdr:col>
      <xdr:colOff>257175</xdr:colOff>
      <xdr:row>38</xdr:row>
      <xdr:rowOff>180975</xdr:rowOff>
    </xdr:to>
    <xdr:pic>
      <xdr:nvPicPr>
        <xdr:cNvPr id="3083" name="Immagin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r="52406" b="56815"/>
        <a:stretch>
          <a:fillRect/>
        </a:stretch>
      </xdr:blipFill>
      <xdr:spPr bwMode="auto">
        <a:xfrm>
          <a:off x="7991475" y="6619875"/>
          <a:ext cx="838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tabSelected="1" topLeftCell="K1" workbookViewId="0">
      <selection activeCell="S1" sqref="S1"/>
    </sheetView>
  </sheetViews>
  <sheetFormatPr defaultColWidth="8.85546875" defaultRowHeight="15" x14ac:dyDescent="0.25"/>
  <cols>
    <col min="1" max="1" width="19.85546875" bestFit="1" customWidth="1"/>
    <col min="7" max="7" width="19.85546875" bestFit="1" customWidth="1"/>
    <col min="13" max="13" width="19.85546875" bestFit="1" customWidth="1"/>
    <col min="19" max="19" width="24.42578125" bestFit="1" customWidth="1"/>
    <col min="21" max="21" width="19" bestFit="1" customWidth="1"/>
  </cols>
  <sheetData>
    <row r="1" spans="1:2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M1" s="27" t="s">
        <v>1</v>
      </c>
      <c r="N1" s="28"/>
      <c r="O1" s="28"/>
      <c r="P1" s="28"/>
      <c r="Q1" s="29"/>
      <c r="S1" s="11" t="s">
        <v>122</v>
      </c>
      <c r="U1" s="11" t="s">
        <v>46</v>
      </c>
    </row>
    <row r="2" spans="1:21" x14ac:dyDescent="0.25">
      <c r="A2" s="2" t="s">
        <v>48</v>
      </c>
      <c r="G2" s="2" t="s">
        <v>48</v>
      </c>
      <c r="M2" s="1"/>
      <c r="N2" s="1"/>
      <c r="O2" s="1"/>
      <c r="P2" s="1"/>
      <c r="Q2" s="1"/>
      <c r="S2" s="12"/>
      <c r="U2" s="12"/>
    </row>
    <row r="3" spans="1:2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G3" s="2" t="s">
        <v>7</v>
      </c>
      <c r="H3" s="3" t="s">
        <v>3</v>
      </c>
      <c r="I3" s="3" t="s">
        <v>4</v>
      </c>
      <c r="J3" s="3" t="s">
        <v>5</v>
      </c>
      <c r="K3" s="3" t="s">
        <v>6</v>
      </c>
      <c r="M3" s="2" t="s">
        <v>1</v>
      </c>
      <c r="N3" s="4" t="s">
        <v>3</v>
      </c>
      <c r="O3" s="4" t="s">
        <v>4</v>
      </c>
      <c r="P3" s="4" t="s">
        <v>5</v>
      </c>
      <c r="Q3" s="4" t="s">
        <v>6</v>
      </c>
      <c r="S3" s="11" t="s">
        <v>1</v>
      </c>
      <c r="U3" s="11" t="str">
        <f>S3</f>
        <v>SOMMA</v>
      </c>
    </row>
    <row r="4" spans="1:21" x14ac:dyDescent="0.25">
      <c r="A4" s="5" t="s">
        <v>8</v>
      </c>
      <c r="B4" s="6"/>
      <c r="C4" s="6"/>
      <c r="D4" s="6"/>
      <c r="E4" s="6"/>
      <c r="G4" s="5" t="str">
        <f>A4</f>
        <v>AVIATOR ORIENT</v>
      </c>
      <c r="H4" s="6">
        <f>40+3</f>
        <v>43</v>
      </c>
      <c r="I4" s="6">
        <f>40+9</f>
        <v>49</v>
      </c>
      <c r="J4" s="6"/>
      <c r="K4" s="6"/>
      <c r="M4" s="7" t="str">
        <f>G4</f>
        <v>AVIATOR ORIENT</v>
      </c>
      <c r="N4" s="4">
        <f>B4+H4</f>
        <v>43</v>
      </c>
      <c r="O4" s="4">
        <f>C4+I4</f>
        <v>49</v>
      </c>
      <c r="P4" s="4">
        <f>D4+J4</f>
        <v>0</v>
      </c>
      <c r="Q4" s="4">
        <f>E4+K4</f>
        <v>0</v>
      </c>
      <c r="S4" s="13">
        <v>14.64</v>
      </c>
      <c r="U4" s="13">
        <f>S4*SUM(N4:Q11)</f>
        <v>12370.800000000001</v>
      </c>
    </row>
    <row r="5" spans="1:21" x14ac:dyDescent="0.25">
      <c r="A5" s="5" t="s">
        <v>9</v>
      </c>
      <c r="B5" s="6"/>
      <c r="C5" s="6">
        <f>22</f>
        <v>22</v>
      </c>
      <c r="D5" s="6">
        <f>13+26</f>
        <v>39</v>
      </c>
      <c r="E5" s="6">
        <f>61</f>
        <v>61</v>
      </c>
      <c r="G5" s="5" t="str">
        <f>A5</f>
        <v>NAVY AVIATOR</v>
      </c>
      <c r="H5" s="6">
        <f>25</f>
        <v>25</v>
      </c>
      <c r="I5" s="6">
        <f>39</f>
        <v>39</v>
      </c>
      <c r="J5" s="6">
        <f>17</f>
        <v>17</v>
      </c>
      <c r="K5" s="6"/>
      <c r="M5" s="7" t="str">
        <f>G5</f>
        <v>NAVY AVIATOR</v>
      </c>
      <c r="N5" s="4">
        <f t="shared" ref="N5:N11" si="0">B5+H5</f>
        <v>25</v>
      </c>
      <c r="O5" s="4">
        <f t="shared" ref="O5:O11" si="1">C5+I5</f>
        <v>61</v>
      </c>
      <c r="P5" s="4">
        <f t="shared" ref="P5:P11" si="2">D5+J5</f>
        <v>56</v>
      </c>
      <c r="Q5" s="4">
        <f t="shared" ref="Q5:Q11" si="3">E5+K5</f>
        <v>61</v>
      </c>
    </row>
    <row r="6" spans="1:21" x14ac:dyDescent="0.25">
      <c r="A6" s="5" t="s">
        <v>10</v>
      </c>
      <c r="B6" s="8"/>
      <c r="C6" s="8">
        <f>24</f>
        <v>24</v>
      </c>
      <c r="D6" s="8"/>
      <c r="E6" s="8">
        <f>24</f>
        <v>24</v>
      </c>
      <c r="G6" s="5" t="str">
        <f t="shared" ref="G6:G11" si="4">A6</f>
        <v>INK PEWTER</v>
      </c>
      <c r="H6" s="8">
        <f>6</f>
        <v>6</v>
      </c>
      <c r="I6" s="8">
        <f>20</f>
        <v>20</v>
      </c>
      <c r="J6" s="8"/>
      <c r="K6" s="8"/>
      <c r="M6" s="7" t="str">
        <f t="shared" ref="M6:M11" si="5">G6</f>
        <v>INK PEWTER</v>
      </c>
      <c r="N6" s="4">
        <f t="shared" si="0"/>
        <v>6</v>
      </c>
      <c r="O6" s="4">
        <f t="shared" si="1"/>
        <v>44</v>
      </c>
      <c r="P6" s="4">
        <f t="shared" si="2"/>
        <v>0</v>
      </c>
      <c r="Q6" s="4">
        <f t="shared" si="3"/>
        <v>24</v>
      </c>
    </row>
    <row r="7" spans="1:21" x14ac:dyDescent="0.25">
      <c r="A7" s="9" t="s">
        <v>11</v>
      </c>
      <c r="B7" s="8"/>
      <c r="C7" s="8">
        <f>87</f>
        <v>87</v>
      </c>
      <c r="D7" s="8"/>
      <c r="E7" s="8"/>
      <c r="G7" s="5" t="str">
        <f t="shared" si="4"/>
        <v>IRON INK</v>
      </c>
      <c r="H7" s="8">
        <f>12</f>
        <v>12</v>
      </c>
      <c r="I7" s="8"/>
      <c r="J7" s="8"/>
      <c r="K7" s="8"/>
      <c r="M7" s="7" t="str">
        <f t="shared" si="5"/>
        <v>IRON INK</v>
      </c>
      <c r="N7" s="4">
        <f t="shared" si="0"/>
        <v>12</v>
      </c>
      <c r="O7" s="4">
        <f t="shared" si="1"/>
        <v>87</v>
      </c>
      <c r="P7" s="4">
        <f t="shared" si="2"/>
        <v>0</v>
      </c>
      <c r="Q7" s="4">
        <f t="shared" si="3"/>
        <v>0</v>
      </c>
    </row>
    <row r="8" spans="1:21" x14ac:dyDescent="0.25">
      <c r="A8" s="9" t="s">
        <v>12</v>
      </c>
      <c r="B8" s="8"/>
      <c r="C8" s="8">
        <f>35</f>
        <v>35</v>
      </c>
      <c r="D8" s="8">
        <f>20</f>
        <v>20</v>
      </c>
      <c r="E8" s="8">
        <f>29</f>
        <v>29</v>
      </c>
      <c r="G8" s="5" t="str">
        <f t="shared" si="4"/>
        <v>OLIVINE COFFEE</v>
      </c>
      <c r="H8" s="8"/>
      <c r="I8" s="8"/>
      <c r="J8" s="8"/>
      <c r="K8" s="8"/>
      <c r="M8" s="7" t="str">
        <f t="shared" si="5"/>
        <v>OLIVINE COFFEE</v>
      </c>
      <c r="N8" s="4">
        <f t="shared" si="0"/>
        <v>0</v>
      </c>
      <c r="O8" s="4">
        <f t="shared" si="1"/>
        <v>35</v>
      </c>
      <c r="P8" s="4">
        <f t="shared" si="2"/>
        <v>20</v>
      </c>
      <c r="Q8" s="4">
        <f t="shared" si="3"/>
        <v>29</v>
      </c>
    </row>
    <row r="9" spans="1:21" x14ac:dyDescent="0.25">
      <c r="A9" s="9" t="s">
        <v>13</v>
      </c>
      <c r="B9" s="8"/>
      <c r="C9" s="8">
        <f>36</f>
        <v>36</v>
      </c>
      <c r="D9" s="8">
        <f>2</f>
        <v>2</v>
      </c>
      <c r="E9" s="8">
        <f>37+7</f>
        <v>44</v>
      </c>
      <c r="G9" s="5" t="str">
        <f t="shared" si="4"/>
        <v>COFFEE OLIVINE</v>
      </c>
      <c r="H9" s="8"/>
      <c r="I9" s="8"/>
      <c r="J9" s="8"/>
      <c r="K9" s="8"/>
      <c r="M9" s="7" t="str">
        <f t="shared" si="5"/>
        <v>COFFEE OLIVINE</v>
      </c>
      <c r="N9" s="4">
        <f t="shared" si="0"/>
        <v>0</v>
      </c>
      <c r="O9" s="4">
        <f t="shared" si="1"/>
        <v>36</v>
      </c>
      <c r="P9" s="4">
        <f t="shared" si="2"/>
        <v>2</v>
      </c>
      <c r="Q9" s="4">
        <f t="shared" si="3"/>
        <v>44</v>
      </c>
    </row>
    <row r="10" spans="1:21" x14ac:dyDescent="0.25">
      <c r="A10" s="9" t="s">
        <v>14</v>
      </c>
      <c r="B10" s="8"/>
      <c r="C10" s="8"/>
      <c r="D10" s="8"/>
      <c r="E10" s="8"/>
      <c r="G10" s="5" t="str">
        <f t="shared" si="4"/>
        <v>PEWTER RARPBERRY</v>
      </c>
      <c r="H10" s="8">
        <f>22</f>
        <v>22</v>
      </c>
      <c r="I10" s="8">
        <f>26</f>
        <v>26</v>
      </c>
      <c r="J10" s="8">
        <f>27+40</f>
        <v>67</v>
      </c>
      <c r="K10" s="8"/>
      <c r="M10" s="7" t="str">
        <f t="shared" si="5"/>
        <v>PEWTER RARPBERRY</v>
      </c>
      <c r="N10" s="4">
        <f t="shared" si="0"/>
        <v>22</v>
      </c>
      <c r="O10" s="4">
        <f t="shared" si="1"/>
        <v>26</v>
      </c>
      <c r="P10" s="4">
        <f t="shared" si="2"/>
        <v>67</v>
      </c>
      <c r="Q10" s="4">
        <f t="shared" si="3"/>
        <v>0</v>
      </c>
    </row>
    <row r="11" spans="1:21" x14ac:dyDescent="0.25">
      <c r="A11" s="9" t="s">
        <v>15</v>
      </c>
      <c r="B11" s="8"/>
      <c r="C11" s="8"/>
      <c r="D11" s="8"/>
      <c r="E11" s="8"/>
      <c r="G11" s="5" t="str">
        <f t="shared" si="4"/>
        <v>RASPBERRY PEWTER</v>
      </c>
      <c r="H11" s="8">
        <f>36</f>
        <v>36</v>
      </c>
      <c r="I11" s="8">
        <f>35</f>
        <v>35</v>
      </c>
      <c r="J11" s="8">
        <f>25</f>
        <v>25</v>
      </c>
      <c r="K11" s="8"/>
      <c r="M11" s="7" t="str">
        <f t="shared" si="5"/>
        <v>RASPBERRY PEWTER</v>
      </c>
      <c r="N11" s="4">
        <f t="shared" si="0"/>
        <v>36</v>
      </c>
      <c r="O11" s="4">
        <f t="shared" si="1"/>
        <v>35</v>
      </c>
      <c r="P11" s="4">
        <f t="shared" si="2"/>
        <v>25</v>
      </c>
      <c r="Q11" s="4">
        <f t="shared" si="3"/>
        <v>0</v>
      </c>
    </row>
    <row r="12" spans="1:21" x14ac:dyDescent="0.25">
      <c r="A12" s="2" t="s">
        <v>49</v>
      </c>
      <c r="G12" s="2" t="s">
        <v>49</v>
      </c>
      <c r="M12" s="1"/>
      <c r="N12" s="1"/>
      <c r="O12" s="1"/>
      <c r="P12" s="1"/>
      <c r="Q12" s="1"/>
    </row>
    <row r="13" spans="1:21" x14ac:dyDescent="0.25">
      <c r="A13" s="2" t="s">
        <v>16</v>
      </c>
      <c r="B13" s="3" t="s">
        <v>3</v>
      </c>
      <c r="C13" s="3" t="s">
        <v>4</v>
      </c>
      <c r="D13" s="3" t="s">
        <v>5</v>
      </c>
      <c r="E13" s="3" t="s">
        <v>6</v>
      </c>
      <c r="G13" s="2" t="s">
        <v>17</v>
      </c>
      <c r="H13" s="3" t="s">
        <v>3</v>
      </c>
      <c r="I13" s="3" t="s">
        <v>4</v>
      </c>
      <c r="J13" s="3" t="s">
        <v>5</v>
      </c>
      <c r="K13" s="3" t="s">
        <v>6</v>
      </c>
      <c r="M13" s="2" t="s">
        <v>1</v>
      </c>
      <c r="N13" s="4" t="s">
        <v>3</v>
      </c>
      <c r="O13" s="4" t="s">
        <v>4</v>
      </c>
      <c r="P13" s="4" t="s">
        <v>5</v>
      </c>
      <c r="Q13" s="4" t="s">
        <v>6</v>
      </c>
      <c r="S13" s="11" t="s">
        <v>1</v>
      </c>
      <c r="U13" s="11" t="str">
        <f>S13</f>
        <v>SOMMA</v>
      </c>
    </row>
    <row r="14" spans="1:21" x14ac:dyDescent="0.25">
      <c r="A14" s="5" t="s">
        <v>8</v>
      </c>
      <c r="B14" s="6"/>
      <c r="C14" s="6">
        <f>3</f>
        <v>3</v>
      </c>
      <c r="D14" s="6"/>
      <c r="E14" s="6">
        <f>15+40</f>
        <v>55</v>
      </c>
      <c r="G14" s="5" t="str">
        <f>A14</f>
        <v>AVIATOR ORIENT</v>
      </c>
      <c r="H14" s="6">
        <f>34+40</f>
        <v>74</v>
      </c>
      <c r="I14" s="6">
        <f>8+40+40+40+40+40+30</f>
        <v>238</v>
      </c>
      <c r="J14" s="6">
        <f>8</f>
        <v>8</v>
      </c>
      <c r="K14" s="6"/>
      <c r="M14" s="7" t="str">
        <f>G14</f>
        <v>AVIATOR ORIENT</v>
      </c>
      <c r="N14" s="4">
        <f>B14+H14</f>
        <v>74</v>
      </c>
      <c r="O14" s="4">
        <f>C14+I14</f>
        <v>241</v>
      </c>
      <c r="P14" s="4">
        <f>D14+J14</f>
        <v>8</v>
      </c>
      <c r="Q14" s="4">
        <f>E14+K14</f>
        <v>55</v>
      </c>
      <c r="S14" s="13">
        <v>19.52</v>
      </c>
      <c r="U14" s="13">
        <f>S14*SUM(N14:Q21)</f>
        <v>26430.079999999998</v>
      </c>
    </row>
    <row r="15" spans="1:21" x14ac:dyDescent="0.25">
      <c r="A15" s="5" t="s">
        <v>9</v>
      </c>
      <c r="B15" s="6"/>
      <c r="C15" s="6"/>
      <c r="D15" s="6"/>
      <c r="E15" s="6">
        <f>37</f>
        <v>37</v>
      </c>
      <c r="G15" s="5" t="str">
        <f>A15</f>
        <v>NAVY AVIATOR</v>
      </c>
      <c r="H15" s="6">
        <f>40+24</f>
        <v>64</v>
      </c>
      <c r="I15" s="6">
        <f>40+40+40+11</f>
        <v>131</v>
      </c>
      <c r="J15" s="6"/>
      <c r="K15" s="6"/>
      <c r="M15" s="7" t="str">
        <f>G15</f>
        <v>NAVY AVIATOR</v>
      </c>
      <c r="N15" s="4">
        <f t="shared" ref="N15:Q21" si="6">B15+H15</f>
        <v>64</v>
      </c>
      <c r="O15" s="4">
        <f t="shared" si="6"/>
        <v>131</v>
      </c>
      <c r="P15" s="4">
        <f t="shared" si="6"/>
        <v>0</v>
      </c>
      <c r="Q15" s="4">
        <f t="shared" si="6"/>
        <v>37</v>
      </c>
    </row>
    <row r="16" spans="1:21" x14ac:dyDescent="0.25">
      <c r="A16" s="5" t="s">
        <v>10</v>
      </c>
      <c r="B16" s="8"/>
      <c r="C16" s="8"/>
      <c r="D16" s="8"/>
      <c r="E16" s="8">
        <f>30+7</f>
        <v>37</v>
      </c>
      <c r="G16" s="5" t="str">
        <f t="shared" ref="G16:G21" si="7">A16</f>
        <v>INK PEWTER</v>
      </c>
      <c r="H16" s="8">
        <f>19+40</f>
        <v>59</v>
      </c>
      <c r="I16" s="8">
        <f>27+40+40+30</f>
        <v>137</v>
      </c>
      <c r="J16" s="8">
        <f>8+40</f>
        <v>48</v>
      </c>
      <c r="K16" s="8"/>
      <c r="M16" s="7" t="str">
        <f t="shared" ref="M16:M21" si="8">G16</f>
        <v>INK PEWTER</v>
      </c>
      <c r="N16" s="4">
        <f t="shared" si="6"/>
        <v>59</v>
      </c>
      <c r="O16" s="4">
        <f t="shared" si="6"/>
        <v>137</v>
      </c>
      <c r="P16" s="4">
        <f t="shared" si="6"/>
        <v>48</v>
      </c>
      <c r="Q16" s="4">
        <f t="shared" si="6"/>
        <v>37</v>
      </c>
    </row>
    <row r="17" spans="1:21" x14ac:dyDescent="0.25">
      <c r="A17" s="9" t="s">
        <v>11</v>
      </c>
      <c r="B17" s="8"/>
      <c r="C17" s="8"/>
      <c r="D17" s="8"/>
      <c r="E17" s="8">
        <f>24</f>
        <v>24</v>
      </c>
      <c r="G17" s="5" t="str">
        <f t="shared" si="7"/>
        <v>IRON INK</v>
      </c>
      <c r="H17" s="8">
        <f>37</f>
        <v>37</v>
      </c>
      <c r="I17" s="8">
        <f>2+40+40+40+40</f>
        <v>162</v>
      </c>
      <c r="J17" s="8">
        <f>4+40</f>
        <v>44</v>
      </c>
      <c r="K17" s="8"/>
      <c r="M17" s="7" t="str">
        <f t="shared" si="8"/>
        <v>IRON INK</v>
      </c>
      <c r="N17" s="4">
        <f t="shared" si="6"/>
        <v>37</v>
      </c>
      <c r="O17" s="4">
        <f t="shared" si="6"/>
        <v>162</v>
      </c>
      <c r="P17" s="4">
        <f t="shared" si="6"/>
        <v>44</v>
      </c>
      <c r="Q17" s="4">
        <f t="shared" si="6"/>
        <v>24</v>
      </c>
    </row>
    <row r="18" spans="1:21" x14ac:dyDescent="0.25">
      <c r="A18" s="9" t="s">
        <v>12</v>
      </c>
      <c r="B18" s="8"/>
      <c r="C18" s="8">
        <f>40+1</f>
        <v>41</v>
      </c>
      <c r="D18" s="8">
        <f>21</f>
        <v>21</v>
      </c>
      <c r="E18" s="8">
        <f>15+40</f>
        <v>55</v>
      </c>
      <c r="G18" s="5" t="str">
        <f t="shared" si="7"/>
        <v>OLIVINE COFFEE</v>
      </c>
      <c r="H18" s="8"/>
      <c r="I18" s="8"/>
      <c r="J18" s="8"/>
      <c r="K18" s="8"/>
      <c r="M18" s="7" t="str">
        <f t="shared" si="8"/>
        <v>OLIVINE COFFEE</v>
      </c>
      <c r="N18" s="4">
        <f t="shared" si="6"/>
        <v>0</v>
      </c>
      <c r="O18" s="4">
        <f t="shared" si="6"/>
        <v>41</v>
      </c>
      <c r="P18" s="4">
        <f t="shared" si="6"/>
        <v>21</v>
      </c>
      <c r="Q18" s="4">
        <f t="shared" si="6"/>
        <v>55</v>
      </c>
    </row>
    <row r="19" spans="1:21" x14ac:dyDescent="0.25">
      <c r="A19" s="9" t="s">
        <v>13</v>
      </c>
      <c r="B19" s="8"/>
      <c r="C19" s="8">
        <f>37</f>
        <v>37</v>
      </c>
      <c r="D19" s="8"/>
      <c r="E19" s="8">
        <f>42</f>
        <v>42</v>
      </c>
      <c r="G19" s="5" t="str">
        <f t="shared" si="7"/>
        <v>COFFEE OLIVINE</v>
      </c>
      <c r="H19" s="8"/>
      <c r="I19" s="8"/>
      <c r="J19" s="8"/>
      <c r="K19" s="8"/>
      <c r="M19" s="7" t="str">
        <f t="shared" si="8"/>
        <v>COFFEE OLIVINE</v>
      </c>
      <c r="N19" s="4">
        <f t="shared" si="6"/>
        <v>0</v>
      </c>
      <c r="O19" s="4">
        <f t="shared" si="6"/>
        <v>37</v>
      </c>
      <c r="P19" s="4">
        <f t="shared" si="6"/>
        <v>0</v>
      </c>
      <c r="Q19" s="4">
        <f t="shared" si="6"/>
        <v>42</v>
      </c>
    </row>
    <row r="20" spans="1:21" x14ac:dyDescent="0.25">
      <c r="A20" s="9" t="s">
        <v>14</v>
      </c>
      <c r="B20" s="8"/>
      <c r="C20" s="8"/>
      <c r="D20" s="8"/>
      <c r="E20" s="8"/>
      <c r="G20" s="5" t="str">
        <f t="shared" si="7"/>
        <v>PEWTER RARPBERRY</v>
      </c>
      <c r="H20" s="8"/>
      <c r="I20" s="8"/>
      <c r="J20" s="8"/>
      <c r="K20" s="8"/>
      <c r="M20" s="7" t="str">
        <f t="shared" si="8"/>
        <v>PEWTER RARPBERRY</v>
      </c>
      <c r="N20" s="4">
        <f t="shared" si="6"/>
        <v>0</v>
      </c>
      <c r="O20" s="4">
        <f t="shared" si="6"/>
        <v>0</v>
      </c>
      <c r="P20" s="4">
        <f t="shared" si="6"/>
        <v>0</v>
      </c>
      <c r="Q20" s="4">
        <f t="shared" si="6"/>
        <v>0</v>
      </c>
    </row>
    <row r="21" spans="1:21" x14ac:dyDescent="0.25">
      <c r="A21" s="9" t="s">
        <v>15</v>
      </c>
      <c r="B21" s="8"/>
      <c r="C21" s="8"/>
      <c r="D21" s="8"/>
      <c r="E21" s="8"/>
      <c r="G21" s="5" t="str">
        <f t="shared" si="7"/>
        <v>RASPBERRY PEWTER</v>
      </c>
      <c r="H21" s="8"/>
      <c r="I21" s="8"/>
      <c r="J21" s="8"/>
      <c r="K21" s="8"/>
      <c r="M21" s="7" t="str">
        <f t="shared" si="8"/>
        <v>RASPBERRY PEWTER</v>
      </c>
      <c r="N21" s="4">
        <f t="shared" si="6"/>
        <v>0</v>
      </c>
      <c r="O21" s="4">
        <f t="shared" si="6"/>
        <v>0</v>
      </c>
      <c r="P21" s="4">
        <f t="shared" si="6"/>
        <v>0</v>
      </c>
      <c r="Q21" s="4">
        <f t="shared" si="6"/>
        <v>0</v>
      </c>
    </row>
    <row r="22" spans="1:21" x14ac:dyDescent="0.25">
      <c r="A22" s="2" t="s">
        <v>50</v>
      </c>
      <c r="G22" s="2" t="s">
        <v>50</v>
      </c>
      <c r="M22" s="1"/>
      <c r="N22" s="1"/>
      <c r="O22" s="1"/>
      <c r="P22" s="1"/>
      <c r="Q22" s="1"/>
    </row>
    <row r="23" spans="1:21" x14ac:dyDescent="0.25">
      <c r="A23" s="2" t="s">
        <v>18</v>
      </c>
      <c r="B23" s="3" t="s">
        <v>3</v>
      </c>
      <c r="C23" s="3" t="s">
        <v>4</v>
      </c>
      <c r="D23" s="3" t="s">
        <v>5</v>
      </c>
      <c r="E23" s="3" t="s">
        <v>6</v>
      </c>
      <c r="G23" s="2" t="s">
        <v>19</v>
      </c>
      <c r="H23" s="3" t="s">
        <v>3</v>
      </c>
      <c r="I23" s="3" t="s">
        <v>4</v>
      </c>
      <c r="J23" s="3" t="s">
        <v>5</v>
      </c>
      <c r="K23" s="3" t="s">
        <v>6</v>
      </c>
      <c r="M23" s="2" t="s">
        <v>1</v>
      </c>
      <c r="N23" s="4" t="s">
        <v>3</v>
      </c>
      <c r="O23" s="4" t="s">
        <v>4</v>
      </c>
      <c r="P23" s="4" t="s">
        <v>5</v>
      </c>
      <c r="Q23" s="4" t="s">
        <v>6</v>
      </c>
      <c r="S23" s="11" t="s">
        <v>1</v>
      </c>
      <c r="U23" s="11" t="str">
        <f>S23</f>
        <v>SOMMA</v>
      </c>
    </row>
    <row r="24" spans="1:21" x14ac:dyDescent="0.25">
      <c r="A24" s="5" t="s">
        <v>8</v>
      </c>
      <c r="B24" s="6"/>
      <c r="C24" s="6">
        <f>8</f>
        <v>8</v>
      </c>
      <c r="D24" s="6">
        <f>4</f>
        <v>4</v>
      </c>
      <c r="E24" s="6">
        <f>2</f>
        <v>2</v>
      </c>
      <c r="G24" s="5" t="str">
        <f>A24</f>
        <v>AVIATOR ORIENT</v>
      </c>
      <c r="H24" s="6">
        <f>9</f>
        <v>9</v>
      </c>
      <c r="I24" s="6">
        <f>11</f>
        <v>11</v>
      </c>
      <c r="J24" s="6"/>
      <c r="K24" s="6"/>
      <c r="M24" s="7" t="str">
        <f>G24</f>
        <v>AVIATOR ORIENT</v>
      </c>
      <c r="N24" s="4">
        <f>B24+H24</f>
        <v>9</v>
      </c>
      <c r="O24" s="4">
        <f>C24+I24</f>
        <v>19</v>
      </c>
      <c r="P24" s="4">
        <f>D24+J24</f>
        <v>4</v>
      </c>
      <c r="Q24" s="4">
        <f>E24+K24</f>
        <v>2</v>
      </c>
      <c r="S24" s="13">
        <v>18.3</v>
      </c>
      <c r="U24" s="13">
        <f>S24*SUM(N24:Q31)</f>
        <v>7484.7000000000007</v>
      </c>
    </row>
    <row r="25" spans="1:21" x14ac:dyDescent="0.25">
      <c r="A25" s="5" t="s">
        <v>9</v>
      </c>
      <c r="B25" s="6"/>
      <c r="C25" s="6"/>
      <c r="D25" s="6">
        <f>17</f>
        <v>17</v>
      </c>
      <c r="E25" s="6">
        <f>23</f>
        <v>23</v>
      </c>
      <c r="G25" s="5" t="str">
        <f>A25</f>
        <v>NAVY AVIATOR</v>
      </c>
      <c r="H25" s="6">
        <f>11</f>
        <v>11</v>
      </c>
      <c r="I25" s="6">
        <f>13</f>
        <v>13</v>
      </c>
      <c r="J25" s="6">
        <f>11</f>
        <v>11</v>
      </c>
      <c r="K25" s="6"/>
      <c r="M25" s="7" t="str">
        <f>G25</f>
        <v>NAVY AVIATOR</v>
      </c>
      <c r="N25" s="4">
        <f t="shared" ref="N25:Q31" si="9">B25+H25</f>
        <v>11</v>
      </c>
      <c r="O25" s="4">
        <f t="shared" si="9"/>
        <v>13</v>
      </c>
      <c r="P25" s="4">
        <f t="shared" si="9"/>
        <v>28</v>
      </c>
      <c r="Q25" s="4">
        <f t="shared" si="9"/>
        <v>23</v>
      </c>
    </row>
    <row r="26" spans="1:21" x14ac:dyDescent="0.25">
      <c r="A26" s="5" t="s">
        <v>10</v>
      </c>
      <c r="B26" s="8"/>
      <c r="C26" s="8">
        <f>16</f>
        <v>16</v>
      </c>
      <c r="D26" s="8"/>
      <c r="E26" s="8">
        <f>4</f>
        <v>4</v>
      </c>
      <c r="G26" s="5" t="str">
        <f t="shared" ref="G26:G31" si="10">A26</f>
        <v>INK PEWTER</v>
      </c>
      <c r="H26" s="8">
        <f>28</f>
        <v>28</v>
      </c>
      <c r="I26" s="8">
        <f>7</f>
        <v>7</v>
      </c>
      <c r="J26" s="8">
        <f>4</f>
        <v>4</v>
      </c>
      <c r="K26" s="8"/>
      <c r="M26" s="7" t="str">
        <f t="shared" ref="M26:M31" si="11">G26</f>
        <v>INK PEWTER</v>
      </c>
      <c r="N26" s="4">
        <f t="shared" si="9"/>
        <v>28</v>
      </c>
      <c r="O26" s="4">
        <f t="shared" si="9"/>
        <v>23</v>
      </c>
      <c r="P26" s="4">
        <f t="shared" si="9"/>
        <v>4</v>
      </c>
      <c r="Q26" s="4">
        <f t="shared" si="9"/>
        <v>4</v>
      </c>
    </row>
    <row r="27" spans="1:21" x14ac:dyDescent="0.25">
      <c r="A27" s="9" t="s">
        <v>11</v>
      </c>
      <c r="B27" s="8"/>
      <c r="C27" s="8">
        <f>13</f>
        <v>13</v>
      </c>
      <c r="D27" s="8">
        <f>25</f>
        <v>25</v>
      </c>
      <c r="E27" s="8">
        <f>16</f>
        <v>16</v>
      </c>
      <c r="G27" s="5" t="str">
        <f t="shared" si="10"/>
        <v>IRON INK</v>
      </c>
      <c r="H27" s="8">
        <f>3</f>
        <v>3</v>
      </c>
      <c r="I27" s="8">
        <f>10</f>
        <v>10</v>
      </c>
      <c r="J27" s="8">
        <f>14</f>
        <v>14</v>
      </c>
      <c r="K27" s="8"/>
      <c r="M27" s="7" t="str">
        <f t="shared" si="11"/>
        <v>IRON INK</v>
      </c>
      <c r="N27" s="4">
        <f t="shared" si="9"/>
        <v>3</v>
      </c>
      <c r="O27" s="4">
        <f t="shared" si="9"/>
        <v>23</v>
      </c>
      <c r="P27" s="4">
        <f t="shared" si="9"/>
        <v>39</v>
      </c>
      <c r="Q27" s="4">
        <f t="shared" si="9"/>
        <v>16</v>
      </c>
    </row>
    <row r="28" spans="1:21" x14ac:dyDescent="0.25">
      <c r="A28" s="9" t="s">
        <v>12</v>
      </c>
      <c r="B28" s="8"/>
      <c r="C28" s="8">
        <f>32</f>
        <v>32</v>
      </c>
      <c r="D28" s="8">
        <f>14</f>
        <v>14</v>
      </c>
      <c r="E28" s="8">
        <f>21</f>
        <v>21</v>
      </c>
      <c r="G28" s="5" t="str">
        <f t="shared" si="10"/>
        <v>OLIVINE COFFEE</v>
      </c>
      <c r="H28" s="8"/>
      <c r="I28" s="8"/>
      <c r="J28" s="8"/>
      <c r="K28" s="8"/>
      <c r="M28" s="7" t="str">
        <f t="shared" si="11"/>
        <v>OLIVINE COFFEE</v>
      </c>
      <c r="N28" s="4">
        <f t="shared" si="9"/>
        <v>0</v>
      </c>
      <c r="O28" s="4">
        <f t="shared" si="9"/>
        <v>32</v>
      </c>
      <c r="P28" s="4">
        <f t="shared" si="9"/>
        <v>14</v>
      </c>
      <c r="Q28" s="4">
        <f t="shared" si="9"/>
        <v>21</v>
      </c>
    </row>
    <row r="29" spans="1:21" x14ac:dyDescent="0.25">
      <c r="A29" s="9" t="s">
        <v>13</v>
      </c>
      <c r="B29" s="8"/>
      <c r="C29" s="8">
        <f>24</f>
        <v>24</v>
      </c>
      <c r="D29" s="8"/>
      <c r="E29" s="8">
        <f>22</f>
        <v>22</v>
      </c>
      <c r="G29" s="5" t="str">
        <f t="shared" si="10"/>
        <v>COFFEE OLIVINE</v>
      </c>
      <c r="H29" s="8"/>
      <c r="I29" s="8"/>
      <c r="J29" s="8"/>
      <c r="K29" s="8"/>
      <c r="M29" s="7" t="str">
        <f t="shared" si="11"/>
        <v>COFFEE OLIVINE</v>
      </c>
      <c r="N29" s="4">
        <f t="shared" si="9"/>
        <v>0</v>
      </c>
      <c r="O29" s="4">
        <f t="shared" si="9"/>
        <v>24</v>
      </c>
      <c r="P29" s="4">
        <f t="shared" si="9"/>
        <v>0</v>
      </c>
      <c r="Q29" s="4">
        <f t="shared" si="9"/>
        <v>22</v>
      </c>
    </row>
    <row r="30" spans="1:21" x14ac:dyDescent="0.25">
      <c r="A30" s="9" t="s">
        <v>14</v>
      </c>
      <c r="B30" s="8"/>
      <c r="C30" s="8"/>
      <c r="D30" s="8"/>
      <c r="E30" s="8"/>
      <c r="G30" s="5" t="str">
        <f t="shared" si="10"/>
        <v>PEWTER RARPBERRY</v>
      </c>
      <c r="H30" s="8">
        <f>10</f>
        <v>10</v>
      </c>
      <c r="I30" s="8">
        <f>8</f>
        <v>8</v>
      </c>
      <c r="J30" s="8">
        <f>13</f>
        <v>13</v>
      </c>
      <c r="K30" s="8"/>
      <c r="M30" s="7" t="str">
        <f t="shared" si="11"/>
        <v>PEWTER RARPBERRY</v>
      </c>
      <c r="N30" s="4">
        <f t="shared" si="9"/>
        <v>10</v>
      </c>
      <c r="O30" s="4">
        <f t="shared" si="9"/>
        <v>8</v>
      </c>
      <c r="P30" s="4">
        <f t="shared" si="9"/>
        <v>13</v>
      </c>
      <c r="Q30" s="4">
        <f t="shared" si="9"/>
        <v>0</v>
      </c>
    </row>
    <row r="31" spans="1:21" x14ac:dyDescent="0.25">
      <c r="A31" s="9" t="s">
        <v>15</v>
      </c>
      <c r="B31" s="8"/>
      <c r="C31" s="8"/>
      <c r="D31" s="8"/>
      <c r="E31" s="8"/>
      <c r="G31" s="5" t="str">
        <f t="shared" si="10"/>
        <v>RASPBERRY PEWTER</v>
      </c>
      <c r="H31" s="8">
        <f>10</f>
        <v>10</v>
      </c>
      <c r="I31" s="8"/>
      <c r="J31" s="8">
        <f>6</f>
        <v>6</v>
      </c>
      <c r="K31" s="8"/>
      <c r="M31" s="7" t="str">
        <f t="shared" si="11"/>
        <v>RASPBERRY PEWTER</v>
      </c>
      <c r="N31" s="4">
        <f t="shared" si="9"/>
        <v>10</v>
      </c>
      <c r="O31" s="4">
        <f t="shared" si="9"/>
        <v>0</v>
      </c>
      <c r="P31" s="4">
        <f t="shared" si="9"/>
        <v>6</v>
      </c>
      <c r="Q31" s="4">
        <f t="shared" si="9"/>
        <v>0</v>
      </c>
    </row>
    <row r="32" spans="1:21" x14ac:dyDescent="0.25">
      <c r="A32" s="2" t="s">
        <v>51</v>
      </c>
      <c r="G32" s="2" t="s">
        <v>51</v>
      </c>
      <c r="M32" s="1"/>
      <c r="N32" s="1"/>
      <c r="O32" s="1"/>
      <c r="P32" s="1"/>
      <c r="Q32" s="1"/>
    </row>
    <row r="33" spans="1:21" x14ac:dyDescent="0.25">
      <c r="A33" s="2" t="s">
        <v>20</v>
      </c>
      <c r="B33" s="3" t="s">
        <v>3</v>
      </c>
      <c r="C33" s="3" t="s">
        <v>4</v>
      </c>
      <c r="D33" s="3" t="s">
        <v>5</v>
      </c>
      <c r="E33" s="3" t="s">
        <v>6</v>
      </c>
      <c r="G33" s="2" t="s">
        <v>21</v>
      </c>
      <c r="H33" s="3" t="s">
        <v>3</v>
      </c>
      <c r="I33" s="3" t="s">
        <v>4</v>
      </c>
      <c r="J33" s="3" t="s">
        <v>5</v>
      </c>
      <c r="K33" s="3" t="s">
        <v>6</v>
      </c>
      <c r="M33" s="2" t="s">
        <v>1</v>
      </c>
      <c r="N33" s="4" t="s">
        <v>3</v>
      </c>
      <c r="O33" s="4" t="s">
        <v>4</v>
      </c>
      <c r="P33" s="4" t="s">
        <v>5</v>
      </c>
      <c r="Q33" s="4" t="s">
        <v>6</v>
      </c>
      <c r="S33" s="11" t="s">
        <v>1</v>
      </c>
      <c r="U33" s="11" t="str">
        <f>S33</f>
        <v>SOMMA</v>
      </c>
    </row>
    <row r="34" spans="1:21" x14ac:dyDescent="0.25">
      <c r="A34" s="5" t="s">
        <v>8</v>
      </c>
      <c r="B34" s="6"/>
      <c r="C34" s="6"/>
      <c r="D34" s="6"/>
      <c r="E34" s="6">
        <f>11</f>
        <v>11</v>
      </c>
      <c r="G34" s="5" t="str">
        <f>A34</f>
        <v>AVIATOR ORIENT</v>
      </c>
      <c r="H34" s="6">
        <f>25+40</f>
        <v>65</v>
      </c>
      <c r="I34" s="6">
        <f>40+35</f>
        <v>75</v>
      </c>
      <c r="J34" s="6"/>
      <c r="K34" s="6"/>
      <c r="M34" s="7" t="str">
        <f>G34</f>
        <v>AVIATOR ORIENT</v>
      </c>
      <c r="N34" s="4">
        <f>B34+H34</f>
        <v>65</v>
      </c>
      <c r="O34" s="4">
        <f>C34+I34</f>
        <v>75</v>
      </c>
      <c r="P34" s="4">
        <f>D34+J34</f>
        <v>0</v>
      </c>
      <c r="Q34" s="4">
        <f>E34+K34</f>
        <v>11</v>
      </c>
      <c r="S34" s="13">
        <v>19.52</v>
      </c>
      <c r="U34" s="13">
        <f>S34*SUM(N34:Q41)</f>
        <v>26293.439999999999</v>
      </c>
    </row>
    <row r="35" spans="1:21" x14ac:dyDescent="0.25">
      <c r="A35" s="5" t="s">
        <v>9</v>
      </c>
      <c r="B35" s="6"/>
      <c r="C35" s="6"/>
      <c r="D35" s="6">
        <f>2</f>
        <v>2</v>
      </c>
      <c r="E35" s="6">
        <f>9</f>
        <v>9</v>
      </c>
      <c r="G35" s="5" t="str">
        <f>A35</f>
        <v>NAVY AVIATOR</v>
      </c>
      <c r="H35" s="6">
        <f>32+40</f>
        <v>72</v>
      </c>
      <c r="I35" s="6">
        <f>3+40+40+40</f>
        <v>123</v>
      </c>
      <c r="J35" s="6"/>
      <c r="K35" s="6"/>
      <c r="M35" s="7" t="str">
        <f>G35</f>
        <v>NAVY AVIATOR</v>
      </c>
      <c r="N35" s="4">
        <f t="shared" ref="N35:Q41" si="12">B35+H35</f>
        <v>72</v>
      </c>
      <c r="O35" s="4">
        <f t="shared" si="12"/>
        <v>123</v>
      </c>
      <c r="P35" s="4">
        <f t="shared" si="12"/>
        <v>2</v>
      </c>
      <c r="Q35" s="4">
        <f t="shared" si="12"/>
        <v>9</v>
      </c>
    </row>
    <row r="36" spans="1:21" x14ac:dyDescent="0.25">
      <c r="A36" s="5" t="s">
        <v>10</v>
      </c>
      <c r="B36" s="8"/>
      <c r="C36" s="8">
        <f>3</f>
        <v>3</v>
      </c>
      <c r="D36" s="8"/>
      <c r="E36" s="8">
        <f>24+40</f>
        <v>64</v>
      </c>
      <c r="G36" s="5" t="str">
        <f t="shared" ref="G36:G41" si="13">A36</f>
        <v>INK PEWTER</v>
      </c>
      <c r="H36" s="8">
        <f>29+40</f>
        <v>69</v>
      </c>
      <c r="I36" s="8">
        <f>40+40+40+30</f>
        <v>150</v>
      </c>
      <c r="J36" s="8">
        <f>5+30</f>
        <v>35</v>
      </c>
      <c r="K36" s="8"/>
      <c r="M36" s="7" t="str">
        <f t="shared" ref="M36:M41" si="14">G36</f>
        <v>INK PEWTER</v>
      </c>
      <c r="N36" s="4">
        <f t="shared" si="12"/>
        <v>69</v>
      </c>
      <c r="O36" s="4">
        <f t="shared" si="12"/>
        <v>153</v>
      </c>
      <c r="P36" s="4">
        <f t="shared" si="12"/>
        <v>35</v>
      </c>
      <c r="Q36" s="4">
        <f t="shared" si="12"/>
        <v>64</v>
      </c>
    </row>
    <row r="37" spans="1:21" x14ac:dyDescent="0.25">
      <c r="A37" s="9" t="s">
        <v>11</v>
      </c>
      <c r="B37" s="8"/>
      <c r="C37" s="8">
        <f>4</f>
        <v>4</v>
      </c>
      <c r="D37" s="8"/>
      <c r="E37" s="8">
        <f>14+40</f>
        <v>54</v>
      </c>
      <c r="G37" s="5" t="str">
        <f t="shared" si="13"/>
        <v>IRON INK</v>
      </c>
      <c r="H37" s="8">
        <f>32+40</f>
        <v>72</v>
      </c>
      <c r="I37" s="8">
        <f>20+40+40</f>
        <v>100</v>
      </c>
      <c r="J37" s="8">
        <f>7</f>
        <v>7</v>
      </c>
      <c r="K37" s="8"/>
      <c r="M37" s="7" t="str">
        <f t="shared" si="14"/>
        <v>IRON INK</v>
      </c>
      <c r="N37" s="4">
        <f t="shared" si="12"/>
        <v>72</v>
      </c>
      <c r="O37" s="4">
        <f t="shared" si="12"/>
        <v>104</v>
      </c>
      <c r="P37" s="4">
        <f t="shared" si="12"/>
        <v>7</v>
      </c>
      <c r="Q37" s="4">
        <f t="shared" si="12"/>
        <v>54</v>
      </c>
    </row>
    <row r="38" spans="1:21" x14ac:dyDescent="0.25">
      <c r="A38" s="9" t="s">
        <v>12</v>
      </c>
      <c r="B38" s="8"/>
      <c r="C38" s="8">
        <f>40+5</f>
        <v>45</v>
      </c>
      <c r="D38" s="8">
        <f>15</f>
        <v>15</v>
      </c>
      <c r="E38" s="8">
        <f>11</f>
        <v>11</v>
      </c>
      <c r="G38" s="5" t="str">
        <f t="shared" si="13"/>
        <v>OLIVINE COFFEE</v>
      </c>
      <c r="H38" s="8"/>
      <c r="I38" s="8"/>
      <c r="J38" s="8"/>
      <c r="K38" s="8"/>
      <c r="M38" s="7" t="str">
        <f t="shared" si="14"/>
        <v>OLIVINE COFFEE</v>
      </c>
      <c r="N38" s="4">
        <f t="shared" si="12"/>
        <v>0</v>
      </c>
      <c r="O38" s="4">
        <f t="shared" si="12"/>
        <v>45</v>
      </c>
      <c r="P38" s="4">
        <f t="shared" si="12"/>
        <v>15</v>
      </c>
      <c r="Q38" s="4">
        <f t="shared" si="12"/>
        <v>11</v>
      </c>
    </row>
    <row r="39" spans="1:21" x14ac:dyDescent="0.25">
      <c r="A39" s="9" t="s">
        <v>13</v>
      </c>
      <c r="B39" s="8"/>
      <c r="C39" s="8">
        <f>40+7</f>
        <v>47</v>
      </c>
      <c r="D39" s="8"/>
      <c r="E39" s="8">
        <f>40</f>
        <v>40</v>
      </c>
      <c r="G39" s="5" t="str">
        <f t="shared" si="13"/>
        <v>COFFEE OLIVINE</v>
      </c>
      <c r="H39" s="8"/>
      <c r="I39" s="8"/>
      <c r="J39" s="8"/>
      <c r="K39" s="8"/>
      <c r="M39" s="7" t="str">
        <f t="shared" si="14"/>
        <v>COFFEE OLIVINE</v>
      </c>
      <c r="N39" s="4">
        <f t="shared" si="12"/>
        <v>0</v>
      </c>
      <c r="O39" s="4">
        <f t="shared" si="12"/>
        <v>47</v>
      </c>
      <c r="P39" s="4">
        <f t="shared" si="12"/>
        <v>0</v>
      </c>
      <c r="Q39" s="4">
        <f t="shared" si="12"/>
        <v>40</v>
      </c>
    </row>
    <row r="40" spans="1:21" x14ac:dyDescent="0.25">
      <c r="A40" s="9" t="s">
        <v>14</v>
      </c>
      <c r="B40" s="8"/>
      <c r="C40" s="8"/>
      <c r="D40" s="8"/>
      <c r="E40" s="8"/>
      <c r="G40" s="5" t="str">
        <f t="shared" si="13"/>
        <v>PEWTER RARPBERRY</v>
      </c>
      <c r="H40" s="8">
        <f>32+40</f>
        <v>72</v>
      </c>
      <c r="I40" s="8">
        <f>40+30</f>
        <v>70</v>
      </c>
      <c r="J40" s="8"/>
      <c r="K40" s="8"/>
      <c r="M40" s="7" t="str">
        <f t="shared" si="14"/>
        <v>PEWTER RARPBERRY</v>
      </c>
      <c r="N40" s="4">
        <f t="shared" si="12"/>
        <v>72</v>
      </c>
      <c r="O40" s="4">
        <f t="shared" si="12"/>
        <v>70</v>
      </c>
      <c r="P40" s="4">
        <f t="shared" si="12"/>
        <v>0</v>
      </c>
      <c r="Q40" s="4">
        <f t="shared" si="12"/>
        <v>0</v>
      </c>
    </row>
    <row r="41" spans="1:21" x14ac:dyDescent="0.25">
      <c r="A41" s="9" t="s">
        <v>15</v>
      </c>
      <c r="B41" s="8"/>
      <c r="C41" s="8"/>
      <c r="D41" s="8"/>
      <c r="E41" s="8"/>
      <c r="G41" s="5" t="str">
        <f t="shared" si="13"/>
        <v>RASPBERRY PEWTER</v>
      </c>
      <c r="H41" s="8">
        <f>40+23</f>
        <v>63</v>
      </c>
      <c r="I41" s="8">
        <f>40+29</f>
        <v>69</v>
      </c>
      <c r="J41" s="8"/>
      <c r="K41" s="8"/>
      <c r="M41" s="7" t="str">
        <f t="shared" si="14"/>
        <v>RASPBERRY PEWTER</v>
      </c>
      <c r="N41" s="4">
        <f t="shared" si="12"/>
        <v>63</v>
      </c>
      <c r="O41" s="4">
        <f t="shared" si="12"/>
        <v>69</v>
      </c>
      <c r="P41" s="4">
        <f t="shared" si="12"/>
        <v>0</v>
      </c>
      <c r="Q41" s="4">
        <f t="shared" si="12"/>
        <v>0</v>
      </c>
    </row>
    <row r="42" spans="1:21" x14ac:dyDescent="0.25">
      <c r="A42" s="2" t="s">
        <v>52</v>
      </c>
      <c r="G42" s="2" t="s">
        <v>52</v>
      </c>
      <c r="M42" s="1"/>
      <c r="N42" s="1"/>
      <c r="O42" s="1"/>
      <c r="P42" s="1"/>
      <c r="Q42" s="1"/>
    </row>
    <row r="43" spans="1:21" x14ac:dyDescent="0.25">
      <c r="A43" s="2" t="s">
        <v>22</v>
      </c>
      <c r="B43" s="3" t="s">
        <v>3</v>
      </c>
      <c r="C43" s="3" t="s">
        <v>4</v>
      </c>
      <c r="D43" s="3" t="s">
        <v>5</v>
      </c>
      <c r="E43" s="3" t="s">
        <v>6</v>
      </c>
      <c r="G43" s="2" t="s">
        <v>23</v>
      </c>
      <c r="H43" s="3" t="s">
        <v>3</v>
      </c>
      <c r="I43" s="3" t="s">
        <v>4</v>
      </c>
      <c r="J43" s="3" t="s">
        <v>5</v>
      </c>
      <c r="K43" s="3" t="s">
        <v>6</v>
      </c>
      <c r="M43" s="2" t="s">
        <v>1</v>
      </c>
      <c r="N43" s="4" t="s">
        <v>3</v>
      </c>
      <c r="O43" s="4" t="s">
        <v>4</v>
      </c>
      <c r="P43" s="4" t="s">
        <v>5</v>
      </c>
      <c r="Q43" s="4" t="s">
        <v>6</v>
      </c>
      <c r="S43" s="11" t="s">
        <v>1</v>
      </c>
      <c r="U43" s="11" t="str">
        <f>S43</f>
        <v>SOMMA</v>
      </c>
    </row>
    <row r="44" spans="1:21" x14ac:dyDescent="0.25">
      <c r="A44" s="5" t="s">
        <v>8</v>
      </c>
      <c r="B44" s="6"/>
      <c r="C44" s="6">
        <f>35</f>
        <v>35</v>
      </c>
      <c r="D44" s="6"/>
      <c r="E44" s="6">
        <f>14+40</f>
        <v>54</v>
      </c>
      <c r="G44" s="5" t="str">
        <f>A44</f>
        <v>AVIATOR ORIENT</v>
      </c>
      <c r="H44" s="6">
        <f>3</f>
        <v>3</v>
      </c>
      <c r="I44" s="6">
        <f>5</f>
        <v>5</v>
      </c>
      <c r="J44" s="6">
        <f>6</f>
        <v>6</v>
      </c>
      <c r="K44" s="6"/>
      <c r="M44" s="7" t="str">
        <f>G44</f>
        <v>AVIATOR ORIENT</v>
      </c>
      <c r="N44" s="4">
        <f>B44+H44</f>
        <v>3</v>
      </c>
      <c r="O44" s="4">
        <f>C44+I44</f>
        <v>40</v>
      </c>
      <c r="P44" s="4">
        <f>D44+J44</f>
        <v>6</v>
      </c>
      <c r="Q44" s="4">
        <f>E44+K44</f>
        <v>54</v>
      </c>
      <c r="S44" s="13">
        <v>18.3</v>
      </c>
      <c r="U44" s="13">
        <f>S44*SUM(N44:Q51)</f>
        <v>14109.300000000001</v>
      </c>
    </row>
    <row r="45" spans="1:21" x14ac:dyDescent="0.25">
      <c r="A45" s="5" t="s">
        <v>9</v>
      </c>
      <c r="B45" s="6"/>
      <c r="C45" s="6"/>
      <c r="D45" s="6"/>
      <c r="E45" s="6">
        <f>25+40</f>
        <v>65</v>
      </c>
      <c r="G45" s="5" t="str">
        <f>A45</f>
        <v>NAVY AVIATOR</v>
      </c>
      <c r="H45" s="6">
        <f>12</f>
        <v>12</v>
      </c>
      <c r="I45" s="6">
        <f>19</f>
        <v>19</v>
      </c>
      <c r="J45" s="6">
        <f>12</f>
        <v>12</v>
      </c>
      <c r="K45" s="6"/>
      <c r="M45" s="7" t="str">
        <f>G45</f>
        <v>NAVY AVIATOR</v>
      </c>
      <c r="N45" s="4">
        <f t="shared" ref="N45:Q51" si="15">B45+H45</f>
        <v>12</v>
      </c>
      <c r="O45" s="4">
        <f t="shared" si="15"/>
        <v>19</v>
      </c>
      <c r="P45" s="4">
        <f t="shared" si="15"/>
        <v>12</v>
      </c>
      <c r="Q45" s="4">
        <f t="shared" si="15"/>
        <v>65</v>
      </c>
    </row>
    <row r="46" spans="1:21" x14ac:dyDescent="0.25">
      <c r="A46" s="5" t="s">
        <v>10</v>
      </c>
      <c r="B46" s="8"/>
      <c r="C46" s="8"/>
      <c r="D46" s="8"/>
      <c r="E46" s="8">
        <f>33+40</f>
        <v>73</v>
      </c>
      <c r="G46" s="5" t="str">
        <f t="shared" ref="G46:G51" si="16">A46</f>
        <v>INK PEWTER</v>
      </c>
      <c r="H46" s="8">
        <f>7</f>
        <v>7</v>
      </c>
      <c r="I46" s="8">
        <f>6</f>
        <v>6</v>
      </c>
      <c r="J46" s="8"/>
      <c r="K46" s="8"/>
      <c r="M46" s="7" t="str">
        <f t="shared" ref="M46:M51" si="17">G46</f>
        <v>INK PEWTER</v>
      </c>
      <c r="N46" s="4">
        <f t="shared" si="15"/>
        <v>7</v>
      </c>
      <c r="O46" s="4">
        <f t="shared" si="15"/>
        <v>6</v>
      </c>
      <c r="P46" s="4">
        <f t="shared" si="15"/>
        <v>0</v>
      </c>
      <c r="Q46" s="4">
        <f t="shared" si="15"/>
        <v>73</v>
      </c>
    </row>
    <row r="47" spans="1:21" x14ac:dyDescent="0.25">
      <c r="A47" s="9" t="s">
        <v>11</v>
      </c>
      <c r="B47" s="8"/>
      <c r="C47" s="8">
        <f>20</f>
        <v>20</v>
      </c>
      <c r="D47" s="8">
        <f>8</f>
        <v>8</v>
      </c>
      <c r="E47" s="8">
        <f>40+25</f>
        <v>65</v>
      </c>
      <c r="G47" s="5" t="str">
        <f t="shared" si="16"/>
        <v>IRON INK</v>
      </c>
      <c r="H47" s="8">
        <f>2</f>
        <v>2</v>
      </c>
      <c r="I47" s="8">
        <f>7</f>
        <v>7</v>
      </c>
      <c r="J47" s="8">
        <f>8</f>
        <v>8</v>
      </c>
      <c r="K47" s="8"/>
      <c r="M47" s="7" t="str">
        <f t="shared" si="17"/>
        <v>IRON INK</v>
      </c>
      <c r="N47" s="4">
        <f t="shared" si="15"/>
        <v>2</v>
      </c>
      <c r="O47" s="4">
        <f t="shared" si="15"/>
        <v>27</v>
      </c>
      <c r="P47" s="4">
        <f t="shared" si="15"/>
        <v>16</v>
      </c>
      <c r="Q47" s="4">
        <f t="shared" si="15"/>
        <v>65</v>
      </c>
    </row>
    <row r="48" spans="1:21" x14ac:dyDescent="0.25">
      <c r="A48" s="9" t="s">
        <v>12</v>
      </c>
      <c r="B48" s="8"/>
      <c r="C48" s="8">
        <f>4+40</f>
        <v>44</v>
      </c>
      <c r="D48" s="8">
        <f>6+40</f>
        <v>46</v>
      </c>
      <c r="E48" s="8">
        <f>15+40</f>
        <v>55</v>
      </c>
      <c r="G48" s="5" t="str">
        <f t="shared" si="16"/>
        <v>OLIVINE COFFEE</v>
      </c>
      <c r="H48" s="8"/>
      <c r="I48" s="8"/>
      <c r="J48" s="8"/>
      <c r="K48" s="8"/>
      <c r="M48" s="7" t="str">
        <f t="shared" si="17"/>
        <v>OLIVINE COFFEE</v>
      </c>
      <c r="N48" s="4">
        <f t="shared" si="15"/>
        <v>0</v>
      </c>
      <c r="O48" s="4">
        <f t="shared" si="15"/>
        <v>44</v>
      </c>
      <c r="P48" s="4">
        <f t="shared" si="15"/>
        <v>46</v>
      </c>
      <c r="Q48" s="4">
        <f t="shared" si="15"/>
        <v>55</v>
      </c>
    </row>
    <row r="49" spans="1:21" x14ac:dyDescent="0.25">
      <c r="A49" s="9" t="s">
        <v>13</v>
      </c>
      <c r="B49" s="8"/>
      <c r="C49" s="8">
        <f>33+40</f>
        <v>73</v>
      </c>
      <c r="D49" s="8">
        <f>23+40</f>
        <v>63</v>
      </c>
      <c r="E49" s="8">
        <f>22+40</f>
        <v>62</v>
      </c>
      <c r="G49" s="5" t="str">
        <f t="shared" si="16"/>
        <v>COFFEE OLIVINE</v>
      </c>
      <c r="H49" s="8"/>
      <c r="I49" s="8"/>
      <c r="J49" s="8"/>
      <c r="K49" s="8"/>
      <c r="M49" s="7" t="str">
        <f t="shared" si="17"/>
        <v>COFFEE OLIVINE</v>
      </c>
      <c r="N49" s="4">
        <f t="shared" si="15"/>
        <v>0</v>
      </c>
      <c r="O49" s="4">
        <f t="shared" si="15"/>
        <v>73</v>
      </c>
      <c r="P49" s="4">
        <f t="shared" si="15"/>
        <v>63</v>
      </c>
      <c r="Q49" s="4">
        <f t="shared" si="15"/>
        <v>62</v>
      </c>
    </row>
    <row r="50" spans="1:21" x14ac:dyDescent="0.25">
      <c r="A50" s="9" t="s">
        <v>14</v>
      </c>
      <c r="B50" s="8"/>
      <c r="C50" s="8"/>
      <c r="D50" s="8"/>
      <c r="E50" s="8"/>
      <c r="G50" s="5" t="str">
        <f t="shared" si="16"/>
        <v>PEWTER RARPBERRY</v>
      </c>
      <c r="H50" s="8">
        <f>7</f>
        <v>7</v>
      </c>
      <c r="I50" s="8">
        <f>7</f>
        <v>7</v>
      </c>
      <c r="J50" s="8"/>
      <c r="K50" s="8"/>
      <c r="M50" s="7" t="str">
        <f t="shared" si="17"/>
        <v>PEWTER RARPBERRY</v>
      </c>
      <c r="N50" s="4">
        <f t="shared" si="15"/>
        <v>7</v>
      </c>
      <c r="O50" s="4">
        <f t="shared" si="15"/>
        <v>7</v>
      </c>
      <c r="P50" s="4">
        <f t="shared" si="15"/>
        <v>0</v>
      </c>
      <c r="Q50" s="4">
        <f t="shared" si="15"/>
        <v>0</v>
      </c>
    </row>
    <row r="51" spans="1:21" x14ac:dyDescent="0.25">
      <c r="A51" s="9" t="s">
        <v>15</v>
      </c>
      <c r="B51" s="8"/>
      <c r="C51" s="8"/>
      <c r="D51" s="8"/>
      <c r="E51" s="8"/>
      <c r="G51" s="5" t="str">
        <f t="shared" si="16"/>
        <v>RASPBERRY PEWTER</v>
      </c>
      <c r="H51" s="8">
        <f>7</f>
        <v>7</v>
      </c>
      <c r="I51" s="8"/>
      <c r="J51" s="8"/>
      <c r="K51" s="8"/>
      <c r="M51" s="7" t="str">
        <f t="shared" si="17"/>
        <v>RASPBERRY PEWTER</v>
      </c>
      <c r="N51" s="4">
        <f t="shared" si="15"/>
        <v>7</v>
      </c>
      <c r="O51" s="4">
        <f t="shared" si="15"/>
        <v>0</v>
      </c>
      <c r="P51" s="4">
        <f t="shared" si="15"/>
        <v>0</v>
      </c>
      <c r="Q51" s="4">
        <f t="shared" si="15"/>
        <v>0</v>
      </c>
    </row>
    <row r="52" spans="1:21" x14ac:dyDescent="0.25">
      <c r="A52" s="16" t="s">
        <v>53</v>
      </c>
      <c r="G52" s="16" t="s">
        <v>53</v>
      </c>
      <c r="M52" s="1"/>
      <c r="N52" s="1"/>
      <c r="O52" s="10"/>
      <c r="P52" s="1"/>
      <c r="Q52" s="1"/>
    </row>
    <row r="53" spans="1:21" x14ac:dyDescent="0.25">
      <c r="A53" s="2" t="s">
        <v>24</v>
      </c>
      <c r="B53" s="3" t="s">
        <v>3</v>
      </c>
      <c r="C53" s="3" t="s">
        <v>4</v>
      </c>
      <c r="D53" s="3" t="s">
        <v>5</v>
      </c>
      <c r="E53" s="3" t="s">
        <v>6</v>
      </c>
      <c r="G53" s="2" t="s">
        <v>25</v>
      </c>
      <c r="H53" s="3" t="s">
        <v>3</v>
      </c>
      <c r="I53" s="3" t="s">
        <v>4</v>
      </c>
      <c r="J53" s="3" t="s">
        <v>5</v>
      </c>
      <c r="K53" s="3" t="s">
        <v>6</v>
      </c>
      <c r="M53" s="2" t="s">
        <v>1</v>
      </c>
      <c r="N53" s="4" t="s">
        <v>3</v>
      </c>
      <c r="O53" s="4" t="s">
        <v>4</v>
      </c>
      <c r="P53" s="4" t="s">
        <v>5</v>
      </c>
      <c r="Q53" s="4" t="s">
        <v>6</v>
      </c>
      <c r="S53" s="11" t="s">
        <v>1</v>
      </c>
      <c r="U53" s="11" t="str">
        <f>S53</f>
        <v>SOMMA</v>
      </c>
    </row>
    <row r="54" spans="1:21" x14ac:dyDescent="0.25">
      <c r="A54" s="5" t="s">
        <v>26</v>
      </c>
      <c r="B54" s="6"/>
      <c r="C54" s="6"/>
      <c r="D54" s="6"/>
      <c r="E54" s="6"/>
      <c r="G54" s="5" t="str">
        <f>A54</f>
        <v>AVIATOR BUTTERCUP</v>
      </c>
      <c r="H54" s="6">
        <f>40+26+40+40</f>
        <v>146</v>
      </c>
      <c r="I54" s="6">
        <f>40+25</f>
        <v>65</v>
      </c>
      <c r="J54" s="6"/>
      <c r="K54" s="6"/>
      <c r="M54" s="7" t="str">
        <f>G54</f>
        <v>AVIATOR BUTTERCUP</v>
      </c>
      <c r="N54" s="4">
        <f>B54+H54</f>
        <v>146</v>
      </c>
      <c r="O54" s="4">
        <f>C54+I54</f>
        <v>65</v>
      </c>
      <c r="P54" s="4">
        <f>D54+J54</f>
        <v>0</v>
      </c>
      <c r="Q54" s="4">
        <f>E54+K54</f>
        <v>0</v>
      </c>
      <c r="S54" s="13">
        <v>20.74</v>
      </c>
      <c r="U54" s="13">
        <f>S54*SUM(N54:Q62)</f>
        <v>7279.74</v>
      </c>
    </row>
    <row r="55" spans="1:21" x14ac:dyDescent="0.25">
      <c r="A55" s="5" t="s">
        <v>27</v>
      </c>
      <c r="B55" s="6"/>
      <c r="C55" s="6"/>
      <c r="D55" s="6"/>
      <c r="E55" s="6"/>
      <c r="G55" s="5" t="str">
        <f>A55</f>
        <v>AVIATOR SKYDIVER</v>
      </c>
      <c r="H55" s="6"/>
      <c r="I55" s="6"/>
      <c r="J55" s="6"/>
      <c r="K55" s="6"/>
      <c r="M55" s="7" t="str">
        <f>G55</f>
        <v>AVIATOR SKYDIVER</v>
      </c>
      <c r="N55" s="4">
        <f t="shared" ref="N55:Q62" si="18">B55+H55</f>
        <v>0</v>
      </c>
      <c r="O55" s="4">
        <f t="shared" si="18"/>
        <v>0</v>
      </c>
      <c r="P55" s="4">
        <f t="shared" si="18"/>
        <v>0</v>
      </c>
      <c r="Q55" s="4">
        <f t="shared" si="18"/>
        <v>0</v>
      </c>
    </row>
    <row r="56" spans="1:21" x14ac:dyDescent="0.25">
      <c r="A56" s="5" t="s">
        <v>28</v>
      </c>
      <c r="B56" s="8"/>
      <c r="C56" s="8">
        <f>1</f>
        <v>1</v>
      </c>
      <c r="D56" s="8"/>
      <c r="E56" s="8">
        <f>9</f>
        <v>9</v>
      </c>
      <c r="G56" s="5" t="str">
        <f t="shared" ref="G56:G62" si="19">A56</f>
        <v>COFFEE TANGERINE</v>
      </c>
      <c r="H56" s="8"/>
      <c r="I56" s="8"/>
      <c r="J56" s="8"/>
      <c r="K56" s="8"/>
      <c r="M56" s="7" t="str">
        <f t="shared" ref="M56:M62" si="20">G56</f>
        <v>COFFEE TANGERINE</v>
      </c>
      <c r="N56" s="4">
        <f t="shared" si="18"/>
        <v>0</v>
      </c>
      <c r="O56" s="4">
        <f t="shared" si="18"/>
        <v>1</v>
      </c>
      <c r="P56" s="4">
        <f t="shared" si="18"/>
        <v>0</v>
      </c>
      <c r="Q56" s="4">
        <f t="shared" si="18"/>
        <v>9</v>
      </c>
    </row>
    <row r="57" spans="1:21" x14ac:dyDescent="0.25">
      <c r="A57" s="9" t="s">
        <v>29</v>
      </c>
      <c r="B57" s="8"/>
      <c r="C57" s="8">
        <f>6</f>
        <v>6</v>
      </c>
      <c r="D57" s="8">
        <f>5</f>
        <v>5</v>
      </c>
      <c r="E57" s="8">
        <f>7</f>
        <v>7</v>
      </c>
      <c r="G57" s="5" t="str">
        <f t="shared" si="19"/>
        <v>INK OCEAN</v>
      </c>
      <c r="H57" s="8"/>
      <c r="I57" s="8"/>
      <c r="J57" s="8"/>
      <c r="K57" s="8"/>
      <c r="M57" s="7" t="str">
        <f t="shared" si="20"/>
        <v>INK OCEAN</v>
      </c>
      <c r="N57" s="4">
        <f t="shared" si="18"/>
        <v>0</v>
      </c>
      <c r="O57" s="4">
        <f t="shared" si="18"/>
        <v>6</v>
      </c>
      <c r="P57" s="4">
        <f t="shared" si="18"/>
        <v>5</v>
      </c>
      <c r="Q57" s="4">
        <f t="shared" si="18"/>
        <v>7</v>
      </c>
    </row>
    <row r="58" spans="1:21" x14ac:dyDescent="0.25">
      <c r="A58" s="9" t="s">
        <v>30</v>
      </c>
      <c r="B58" s="8"/>
      <c r="C58" s="8"/>
      <c r="D58" s="8"/>
      <c r="E58" s="8">
        <f>7</f>
        <v>7</v>
      </c>
      <c r="G58" s="5" t="str">
        <f t="shared" si="19"/>
        <v>IRON SKYDIVER</v>
      </c>
      <c r="H58" s="8"/>
      <c r="I58" s="8"/>
      <c r="J58" s="8">
        <f>26</f>
        <v>26</v>
      </c>
      <c r="K58" s="8"/>
      <c r="M58" s="7" t="str">
        <f t="shared" si="20"/>
        <v>IRON SKYDIVER</v>
      </c>
      <c r="N58" s="4">
        <f t="shared" si="18"/>
        <v>0</v>
      </c>
      <c r="O58" s="4">
        <f t="shared" si="18"/>
        <v>0</v>
      </c>
      <c r="P58" s="4">
        <f t="shared" si="18"/>
        <v>26</v>
      </c>
      <c r="Q58" s="4">
        <f t="shared" si="18"/>
        <v>7</v>
      </c>
    </row>
    <row r="59" spans="1:21" x14ac:dyDescent="0.25">
      <c r="A59" s="9" t="s">
        <v>31</v>
      </c>
      <c r="B59" s="8"/>
      <c r="C59" s="8">
        <f>13</f>
        <v>13</v>
      </c>
      <c r="D59" s="6">
        <f>11</f>
        <v>11</v>
      </c>
      <c r="E59" s="6">
        <f>16</f>
        <v>16</v>
      </c>
      <c r="G59" s="5" t="str">
        <f t="shared" si="19"/>
        <v>NAVY GRAPE</v>
      </c>
      <c r="H59" s="8"/>
      <c r="I59" s="8"/>
      <c r="J59" s="8"/>
      <c r="K59" s="8"/>
      <c r="M59" s="7" t="str">
        <f t="shared" si="20"/>
        <v>NAVY GRAPE</v>
      </c>
      <c r="N59" s="4">
        <f t="shared" si="18"/>
        <v>0</v>
      </c>
      <c r="O59" s="4">
        <f t="shared" si="18"/>
        <v>13</v>
      </c>
      <c r="P59" s="4">
        <f t="shared" si="18"/>
        <v>11</v>
      </c>
      <c r="Q59" s="4">
        <f t="shared" si="18"/>
        <v>16</v>
      </c>
    </row>
    <row r="60" spans="1:21" x14ac:dyDescent="0.25">
      <c r="A60" s="9" t="s">
        <v>32</v>
      </c>
      <c r="B60" s="8"/>
      <c r="C60" s="8">
        <f>8</f>
        <v>8</v>
      </c>
      <c r="D60" s="8">
        <f>7</f>
        <v>7</v>
      </c>
      <c r="E60" s="8">
        <f>17</f>
        <v>17</v>
      </c>
      <c r="G60" s="5" t="str">
        <f t="shared" si="19"/>
        <v>OLIVINE ORIENT</v>
      </c>
      <c r="H60" s="8"/>
      <c r="I60" s="8"/>
      <c r="J60" s="8"/>
      <c r="K60" s="8"/>
      <c r="M60" s="7" t="str">
        <f t="shared" si="20"/>
        <v>OLIVINE ORIENT</v>
      </c>
      <c r="N60" s="4">
        <f t="shared" si="18"/>
        <v>0</v>
      </c>
      <c r="O60" s="4">
        <f t="shared" si="18"/>
        <v>8</v>
      </c>
      <c r="P60" s="4">
        <f t="shared" si="18"/>
        <v>7</v>
      </c>
      <c r="Q60" s="4">
        <f t="shared" si="18"/>
        <v>17</v>
      </c>
    </row>
    <row r="61" spans="1:21" x14ac:dyDescent="0.25">
      <c r="A61" s="9" t="s">
        <v>33</v>
      </c>
      <c r="B61" s="8"/>
      <c r="C61" s="8"/>
      <c r="D61" s="8"/>
      <c r="E61" s="8"/>
      <c r="G61" s="5" t="str">
        <f t="shared" si="19"/>
        <v>PEWTER BUTTERCUP</v>
      </c>
      <c r="H61" s="8"/>
      <c r="I61" s="8"/>
      <c r="J61" s="8"/>
      <c r="K61" s="8"/>
      <c r="M61" s="7" t="str">
        <f t="shared" si="20"/>
        <v>PEWTER BUTTERCUP</v>
      </c>
      <c r="N61" s="4">
        <f t="shared" si="18"/>
        <v>0</v>
      </c>
      <c r="O61" s="4">
        <f t="shared" si="18"/>
        <v>0</v>
      </c>
      <c r="P61" s="4">
        <f t="shared" si="18"/>
        <v>0</v>
      </c>
      <c r="Q61" s="4">
        <f t="shared" si="18"/>
        <v>0</v>
      </c>
    </row>
    <row r="62" spans="1:21" x14ac:dyDescent="0.25">
      <c r="A62" s="9" t="s">
        <v>34</v>
      </c>
      <c r="B62" s="8"/>
      <c r="C62" s="8"/>
      <c r="D62" s="8"/>
      <c r="E62" s="8"/>
      <c r="G62" s="5" t="str">
        <f t="shared" si="19"/>
        <v>PEWTER SCARLET</v>
      </c>
      <c r="H62" s="8">
        <f>7</f>
        <v>7</v>
      </c>
      <c r="I62" s="8"/>
      <c r="J62" s="8"/>
      <c r="K62" s="8"/>
      <c r="M62" s="7" t="str">
        <f t="shared" si="20"/>
        <v>PEWTER SCARLET</v>
      </c>
      <c r="N62" s="4">
        <f t="shared" si="18"/>
        <v>7</v>
      </c>
      <c r="O62" s="4">
        <f t="shared" si="18"/>
        <v>0</v>
      </c>
      <c r="P62" s="4">
        <f t="shared" si="18"/>
        <v>0</v>
      </c>
      <c r="Q62" s="4">
        <f t="shared" si="18"/>
        <v>0</v>
      </c>
    </row>
    <row r="63" spans="1:21" x14ac:dyDescent="0.25">
      <c r="A63" s="16" t="s">
        <v>54</v>
      </c>
      <c r="G63" s="16" t="s">
        <v>54</v>
      </c>
      <c r="M63" s="1"/>
      <c r="N63" s="1"/>
      <c r="O63" s="1"/>
      <c r="P63" s="1"/>
      <c r="Q63" s="1"/>
    </row>
    <row r="64" spans="1:21" x14ac:dyDescent="0.25">
      <c r="A64" s="2" t="s">
        <v>35</v>
      </c>
      <c r="B64" s="3" t="s">
        <v>3</v>
      </c>
      <c r="C64" s="3" t="s">
        <v>4</v>
      </c>
      <c r="D64" s="3" t="s">
        <v>5</v>
      </c>
      <c r="E64" s="3" t="s">
        <v>6</v>
      </c>
      <c r="G64" s="2" t="s">
        <v>36</v>
      </c>
      <c r="H64" s="3" t="s">
        <v>3</v>
      </c>
      <c r="I64" s="3" t="s">
        <v>4</v>
      </c>
      <c r="J64" s="3" t="s">
        <v>5</v>
      </c>
      <c r="K64" s="3" t="s">
        <v>6</v>
      </c>
      <c r="M64" s="2" t="s">
        <v>1</v>
      </c>
      <c r="N64" s="4" t="s">
        <v>3</v>
      </c>
      <c r="O64" s="4" t="s">
        <v>4</v>
      </c>
      <c r="P64" s="4" t="s">
        <v>5</v>
      </c>
      <c r="Q64" s="4" t="s">
        <v>6</v>
      </c>
      <c r="S64" s="11" t="s">
        <v>1</v>
      </c>
      <c r="U64" s="11" t="str">
        <f>S64</f>
        <v>SOMMA</v>
      </c>
    </row>
    <row r="65" spans="1:21" x14ac:dyDescent="0.25">
      <c r="A65" s="5" t="s">
        <v>26</v>
      </c>
      <c r="B65" s="6"/>
      <c r="C65" s="6"/>
      <c r="D65" s="6"/>
      <c r="E65" s="6"/>
      <c r="G65" s="5" t="str">
        <f>A65</f>
        <v>AVIATOR BUTTERCUP</v>
      </c>
      <c r="H65" s="6"/>
      <c r="I65" s="6"/>
      <c r="J65" s="6"/>
      <c r="K65" s="6"/>
      <c r="M65" s="7" t="str">
        <f>G65</f>
        <v>AVIATOR BUTTERCUP</v>
      </c>
      <c r="N65" s="4">
        <f>B65+H65</f>
        <v>0</v>
      </c>
      <c r="O65" s="4">
        <f>C65+I65</f>
        <v>0</v>
      </c>
      <c r="P65" s="4">
        <f>D65+J65</f>
        <v>0</v>
      </c>
      <c r="Q65" s="4">
        <f>E65+K65</f>
        <v>0</v>
      </c>
      <c r="S65" s="13">
        <v>19.52</v>
      </c>
      <c r="U65" s="13">
        <f>S65*SUM(N65:Q73)</f>
        <v>12141.44</v>
      </c>
    </row>
    <row r="66" spans="1:21" x14ac:dyDescent="0.25">
      <c r="A66" s="5" t="s">
        <v>27</v>
      </c>
      <c r="B66" s="6"/>
      <c r="C66" s="6"/>
      <c r="D66" s="6"/>
      <c r="E66" s="6">
        <f>46</f>
        <v>46</v>
      </c>
      <c r="G66" s="5" t="str">
        <f>A66</f>
        <v>AVIATOR SKYDIVER</v>
      </c>
      <c r="H66" s="6"/>
      <c r="I66" s="6"/>
      <c r="J66" s="6"/>
      <c r="K66" s="6"/>
      <c r="M66" s="7" t="str">
        <f>G66</f>
        <v>AVIATOR SKYDIVER</v>
      </c>
      <c r="N66" s="4">
        <f t="shared" ref="N66:Q73" si="21">B66+H66</f>
        <v>0</v>
      </c>
      <c r="O66" s="4">
        <f t="shared" si="21"/>
        <v>0</v>
      </c>
      <c r="P66" s="4">
        <f t="shared" si="21"/>
        <v>0</v>
      </c>
      <c r="Q66" s="4">
        <f t="shared" si="21"/>
        <v>46</v>
      </c>
    </row>
    <row r="67" spans="1:21" x14ac:dyDescent="0.25">
      <c r="A67" s="5" t="s">
        <v>28</v>
      </c>
      <c r="B67" s="8"/>
      <c r="C67" s="8">
        <f>7</f>
        <v>7</v>
      </c>
      <c r="D67" s="8"/>
      <c r="E67" s="8">
        <f>30</f>
        <v>30</v>
      </c>
      <c r="G67" s="5" t="str">
        <f t="shared" ref="G67:G73" si="22">A67</f>
        <v>COFFEE TANGERINE</v>
      </c>
      <c r="H67" s="8"/>
      <c r="I67" s="8"/>
      <c r="J67" s="8"/>
      <c r="K67" s="8"/>
      <c r="M67" s="7" t="str">
        <f t="shared" ref="M67:M73" si="23">G67</f>
        <v>COFFEE TANGERINE</v>
      </c>
      <c r="N67" s="4">
        <f t="shared" si="21"/>
        <v>0</v>
      </c>
      <c r="O67" s="4">
        <f t="shared" si="21"/>
        <v>7</v>
      </c>
      <c r="P67" s="4">
        <f t="shared" si="21"/>
        <v>0</v>
      </c>
      <c r="Q67" s="4">
        <f t="shared" si="21"/>
        <v>30</v>
      </c>
    </row>
    <row r="68" spans="1:21" x14ac:dyDescent="0.25">
      <c r="A68" s="9" t="s">
        <v>29</v>
      </c>
      <c r="B68" s="8"/>
      <c r="C68" s="8">
        <f>40+16</f>
        <v>56</v>
      </c>
      <c r="D68" s="8">
        <f>20</f>
        <v>20</v>
      </c>
      <c r="E68" s="8">
        <f>40+18</f>
        <v>58</v>
      </c>
      <c r="G68" s="5" t="str">
        <f t="shared" si="22"/>
        <v>INK OCEAN</v>
      </c>
      <c r="H68" s="8"/>
      <c r="I68" s="8"/>
      <c r="J68" s="8"/>
      <c r="K68" s="8"/>
      <c r="M68" s="7" t="str">
        <f t="shared" si="23"/>
        <v>INK OCEAN</v>
      </c>
      <c r="N68" s="4">
        <f t="shared" si="21"/>
        <v>0</v>
      </c>
      <c r="O68" s="4">
        <f t="shared" si="21"/>
        <v>56</v>
      </c>
      <c r="P68" s="4">
        <f t="shared" si="21"/>
        <v>20</v>
      </c>
      <c r="Q68" s="4">
        <f t="shared" si="21"/>
        <v>58</v>
      </c>
    </row>
    <row r="69" spans="1:21" x14ac:dyDescent="0.25">
      <c r="A69" s="9" t="s">
        <v>30</v>
      </c>
      <c r="B69" s="8"/>
      <c r="C69" s="8">
        <f>46+40</f>
        <v>86</v>
      </c>
      <c r="D69" s="8">
        <f>40+5</f>
        <v>45</v>
      </c>
      <c r="E69" s="8">
        <f>40+18</f>
        <v>58</v>
      </c>
      <c r="G69" s="5" t="str">
        <f t="shared" si="22"/>
        <v>IRON SKYDIVER</v>
      </c>
      <c r="H69" s="8"/>
      <c r="I69" s="8"/>
      <c r="J69" s="8"/>
      <c r="K69" s="8"/>
      <c r="M69" s="7" t="str">
        <f t="shared" si="23"/>
        <v>IRON SKYDIVER</v>
      </c>
      <c r="N69" s="4">
        <f t="shared" si="21"/>
        <v>0</v>
      </c>
      <c r="O69" s="4">
        <f t="shared" si="21"/>
        <v>86</v>
      </c>
      <c r="P69" s="4">
        <f t="shared" si="21"/>
        <v>45</v>
      </c>
      <c r="Q69" s="4">
        <f t="shared" si="21"/>
        <v>58</v>
      </c>
    </row>
    <row r="70" spans="1:21" x14ac:dyDescent="0.25">
      <c r="A70" s="9" t="s">
        <v>31</v>
      </c>
      <c r="B70" s="8"/>
      <c r="C70" s="8"/>
      <c r="D70" s="6">
        <f>17</f>
        <v>17</v>
      </c>
      <c r="E70" s="6">
        <f>14+40</f>
        <v>54</v>
      </c>
      <c r="G70" s="5" t="str">
        <f t="shared" si="22"/>
        <v>NAVY GRAPE</v>
      </c>
      <c r="H70" s="8"/>
      <c r="I70" s="8"/>
      <c r="J70" s="8"/>
      <c r="K70" s="8"/>
      <c r="M70" s="7" t="str">
        <f t="shared" si="23"/>
        <v>NAVY GRAPE</v>
      </c>
      <c r="N70" s="4">
        <f t="shared" si="21"/>
        <v>0</v>
      </c>
      <c r="O70" s="4">
        <f t="shared" si="21"/>
        <v>0</v>
      </c>
      <c r="P70" s="4">
        <f t="shared" si="21"/>
        <v>17</v>
      </c>
      <c r="Q70" s="4">
        <f t="shared" si="21"/>
        <v>54</v>
      </c>
    </row>
    <row r="71" spans="1:21" x14ac:dyDescent="0.25">
      <c r="A71" s="9" t="s">
        <v>32</v>
      </c>
      <c r="B71" s="8"/>
      <c r="C71" s="8">
        <f>30</f>
        <v>30</v>
      </c>
      <c r="D71" s="8">
        <f>18</f>
        <v>18</v>
      </c>
      <c r="E71" s="8">
        <f>40+6</f>
        <v>46</v>
      </c>
      <c r="G71" s="5" t="str">
        <f t="shared" si="22"/>
        <v>OLIVINE ORIENT</v>
      </c>
      <c r="H71" s="8"/>
      <c r="I71" s="8"/>
      <c r="J71" s="8"/>
      <c r="K71" s="8"/>
      <c r="M71" s="7" t="str">
        <f t="shared" si="23"/>
        <v>OLIVINE ORIENT</v>
      </c>
      <c r="N71" s="4">
        <f t="shared" si="21"/>
        <v>0</v>
      </c>
      <c r="O71" s="4">
        <f t="shared" si="21"/>
        <v>30</v>
      </c>
      <c r="P71" s="4">
        <f t="shared" si="21"/>
        <v>18</v>
      </c>
      <c r="Q71" s="4">
        <f t="shared" si="21"/>
        <v>46</v>
      </c>
    </row>
    <row r="72" spans="1:21" x14ac:dyDescent="0.25">
      <c r="A72" s="9" t="s">
        <v>33</v>
      </c>
      <c r="B72" s="8"/>
      <c r="C72" s="8"/>
      <c r="D72" s="8"/>
      <c r="E72" s="8">
        <f>40+11</f>
        <v>51</v>
      </c>
      <c r="G72" s="5" t="str">
        <f t="shared" si="22"/>
        <v>PEWTER BUTTERCUP</v>
      </c>
      <c r="H72" s="8"/>
      <c r="I72" s="8"/>
      <c r="J72" s="8"/>
      <c r="K72" s="8"/>
      <c r="M72" s="7" t="str">
        <f t="shared" si="23"/>
        <v>PEWTER BUTTERCUP</v>
      </c>
      <c r="N72" s="4">
        <f t="shared" si="21"/>
        <v>0</v>
      </c>
      <c r="O72" s="4">
        <f t="shared" si="21"/>
        <v>0</v>
      </c>
      <c r="P72" s="4">
        <f t="shared" si="21"/>
        <v>0</v>
      </c>
      <c r="Q72" s="4">
        <f t="shared" si="21"/>
        <v>51</v>
      </c>
    </row>
    <row r="73" spans="1:21" x14ac:dyDescent="0.25">
      <c r="A73" s="9" t="s">
        <v>34</v>
      </c>
      <c r="B73" s="8"/>
      <c r="C73" s="8"/>
      <c r="D73" s="8"/>
      <c r="E73" s="8"/>
      <c r="G73" s="5" t="str">
        <f t="shared" si="22"/>
        <v>PEWTER SCARLET</v>
      </c>
      <c r="H73" s="8"/>
      <c r="I73" s="8"/>
      <c r="J73" s="8"/>
      <c r="K73" s="8"/>
      <c r="M73" s="7" t="str">
        <f t="shared" si="23"/>
        <v>PEWTER SCARLET</v>
      </c>
      <c r="N73" s="4">
        <f t="shared" si="21"/>
        <v>0</v>
      </c>
      <c r="O73" s="4">
        <f t="shared" si="21"/>
        <v>0</v>
      </c>
      <c r="P73" s="4">
        <f t="shared" si="21"/>
        <v>0</v>
      </c>
      <c r="Q73" s="4">
        <f t="shared" si="21"/>
        <v>0</v>
      </c>
    </row>
    <row r="74" spans="1:21" x14ac:dyDescent="0.25">
      <c r="A74" s="16" t="s">
        <v>55</v>
      </c>
      <c r="G74" s="16" t="s">
        <v>55</v>
      </c>
      <c r="M74" s="1"/>
      <c r="N74" s="1"/>
      <c r="O74" s="1"/>
      <c r="P74" s="1"/>
      <c r="Q74" s="1"/>
    </row>
    <row r="75" spans="1:21" x14ac:dyDescent="0.25">
      <c r="A75" s="2" t="s">
        <v>37</v>
      </c>
      <c r="B75" s="3" t="s">
        <v>3</v>
      </c>
      <c r="C75" s="3" t="s">
        <v>4</v>
      </c>
      <c r="D75" s="3" t="s">
        <v>5</v>
      </c>
      <c r="E75" s="3" t="s">
        <v>6</v>
      </c>
      <c r="G75" s="2" t="s">
        <v>38</v>
      </c>
      <c r="H75" s="3" t="s">
        <v>3</v>
      </c>
      <c r="I75" s="3" t="s">
        <v>4</v>
      </c>
      <c r="J75" s="3" t="s">
        <v>5</v>
      </c>
      <c r="K75" s="3" t="s">
        <v>6</v>
      </c>
      <c r="M75" s="2" t="s">
        <v>1</v>
      </c>
      <c r="N75" s="4" t="s">
        <v>3</v>
      </c>
      <c r="O75" s="4" t="s">
        <v>4</v>
      </c>
      <c r="P75" s="4" t="s">
        <v>5</v>
      </c>
      <c r="Q75" s="4" t="s">
        <v>6</v>
      </c>
      <c r="S75" s="11" t="s">
        <v>1</v>
      </c>
      <c r="U75" s="11" t="str">
        <f>S75</f>
        <v>SOMMA</v>
      </c>
    </row>
    <row r="76" spans="1:21" x14ac:dyDescent="0.25">
      <c r="A76" s="5" t="s">
        <v>8</v>
      </c>
      <c r="B76" s="6"/>
      <c r="C76" s="6">
        <f>15</f>
        <v>15</v>
      </c>
      <c r="D76" s="6">
        <f>1</f>
        <v>1</v>
      </c>
      <c r="E76" s="6"/>
      <c r="G76" s="5" t="str">
        <f>A76</f>
        <v>AVIATOR ORIENT</v>
      </c>
      <c r="H76" s="6"/>
      <c r="I76" s="6"/>
      <c r="J76" s="6"/>
      <c r="K76" s="6"/>
      <c r="M76" s="7" t="str">
        <f>G76</f>
        <v>AVIATOR ORIENT</v>
      </c>
      <c r="N76" s="4">
        <f>B76+H76</f>
        <v>0</v>
      </c>
      <c r="O76" s="4">
        <f>C76+I76</f>
        <v>15</v>
      </c>
      <c r="P76" s="4">
        <f>D76+J76</f>
        <v>1</v>
      </c>
      <c r="Q76" s="4">
        <f>E76+K76</f>
        <v>0</v>
      </c>
      <c r="S76" s="13">
        <v>20.74</v>
      </c>
      <c r="U76" s="13">
        <f>S76*SUM(N76:Q83)</f>
        <v>1783.6399999999999</v>
      </c>
    </row>
    <row r="77" spans="1:21" x14ac:dyDescent="0.25">
      <c r="A77" s="5" t="s">
        <v>9</v>
      </c>
      <c r="B77" s="6">
        <f>1</f>
        <v>1</v>
      </c>
      <c r="C77" s="6">
        <f>14</f>
        <v>14</v>
      </c>
      <c r="D77" s="6"/>
      <c r="E77" s="6">
        <f>6</f>
        <v>6</v>
      </c>
      <c r="G77" s="5" t="str">
        <f>A77</f>
        <v>NAVY AVIATOR</v>
      </c>
      <c r="H77" s="6"/>
      <c r="I77" s="6"/>
      <c r="J77" s="6"/>
      <c r="K77" s="6"/>
      <c r="M77" s="7" t="str">
        <f>G77</f>
        <v>NAVY AVIATOR</v>
      </c>
      <c r="N77" s="4">
        <f t="shared" ref="N77:Q83" si="24">B77+H77</f>
        <v>1</v>
      </c>
      <c r="O77" s="4">
        <f t="shared" si="24"/>
        <v>14</v>
      </c>
      <c r="P77" s="4">
        <f t="shared" si="24"/>
        <v>0</v>
      </c>
      <c r="Q77" s="4">
        <f t="shared" si="24"/>
        <v>6</v>
      </c>
    </row>
    <row r="78" spans="1:21" x14ac:dyDescent="0.25">
      <c r="A78" s="5" t="s">
        <v>10</v>
      </c>
      <c r="B78" s="8">
        <f>2</f>
        <v>2</v>
      </c>
      <c r="C78" s="8">
        <f>8</f>
        <v>8</v>
      </c>
      <c r="D78" s="8"/>
      <c r="E78" s="8">
        <f>2</f>
        <v>2</v>
      </c>
      <c r="G78" s="5" t="str">
        <f t="shared" ref="G78:G83" si="25">A78</f>
        <v>INK PEWTER</v>
      </c>
      <c r="H78" s="8"/>
      <c r="I78" s="8"/>
      <c r="J78" s="8"/>
      <c r="K78" s="8"/>
      <c r="M78" s="7" t="str">
        <f t="shared" ref="M78:M83" si="26">G78</f>
        <v>INK PEWTER</v>
      </c>
      <c r="N78" s="4">
        <f t="shared" si="24"/>
        <v>2</v>
      </c>
      <c r="O78" s="4">
        <f t="shared" si="24"/>
        <v>8</v>
      </c>
      <c r="P78" s="4">
        <f t="shared" si="24"/>
        <v>0</v>
      </c>
      <c r="Q78" s="4">
        <f t="shared" si="24"/>
        <v>2</v>
      </c>
    </row>
    <row r="79" spans="1:21" x14ac:dyDescent="0.25">
      <c r="A79" s="9" t="s">
        <v>11</v>
      </c>
      <c r="B79" s="8"/>
      <c r="C79" s="8">
        <f>3</f>
        <v>3</v>
      </c>
      <c r="D79" s="8"/>
      <c r="E79" s="8">
        <f>6</f>
        <v>6</v>
      </c>
      <c r="G79" s="5" t="str">
        <f t="shared" si="25"/>
        <v>IRON INK</v>
      </c>
      <c r="H79" s="8"/>
      <c r="I79" s="8"/>
      <c r="J79" s="8"/>
      <c r="K79" s="8"/>
      <c r="M79" s="7" t="str">
        <f t="shared" si="26"/>
        <v>IRON INK</v>
      </c>
      <c r="N79" s="4">
        <f t="shared" si="24"/>
        <v>0</v>
      </c>
      <c r="O79" s="4">
        <f t="shared" si="24"/>
        <v>3</v>
      </c>
      <c r="P79" s="4">
        <f t="shared" si="24"/>
        <v>0</v>
      </c>
      <c r="Q79" s="4">
        <f t="shared" si="24"/>
        <v>6</v>
      </c>
    </row>
    <row r="80" spans="1:21" x14ac:dyDescent="0.25">
      <c r="A80" s="9" t="s">
        <v>12</v>
      </c>
      <c r="B80" s="8">
        <f>1</f>
        <v>1</v>
      </c>
      <c r="C80" s="8">
        <f>10</f>
        <v>10</v>
      </c>
      <c r="D80" s="8">
        <f>9</f>
        <v>9</v>
      </c>
      <c r="E80" s="8">
        <f>8</f>
        <v>8</v>
      </c>
      <c r="G80" s="5" t="str">
        <f t="shared" si="25"/>
        <v>OLIVINE COFFEE</v>
      </c>
      <c r="H80" s="8"/>
      <c r="I80" s="8"/>
      <c r="J80" s="8"/>
      <c r="K80" s="8"/>
      <c r="M80" s="7" t="str">
        <f t="shared" si="26"/>
        <v>OLIVINE COFFEE</v>
      </c>
      <c r="N80" s="4">
        <f t="shared" si="24"/>
        <v>1</v>
      </c>
      <c r="O80" s="4">
        <f t="shared" si="24"/>
        <v>10</v>
      </c>
      <c r="P80" s="4">
        <f t="shared" si="24"/>
        <v>9</v>
      </c>
      <c r="Q80" s="4">
        <f t="shared" si="24"/>
        <v>8</v>
      </c>
    </row>
    <row r="81" spans="1:21" x14ac:dyDescent="0.25">
      <c r="A81" s="9" t="s">
        <v>13</v>
      </c>
      <c r="B81" s="8"/>
      <c r="C81" s="8"/>
      <c r="D81" s="8"/>
      <c r="E81" s="8"/>
      <c r="G81" s="5" t="str">
        <f t="shared" si="25"/>
        <v>COFFEE OLIVINE</v>
      </c>
      <c r="H81" s="8"/>
      <c r="I81" s="8"/>
      <c r="J81" s="8"/>
      <c r="K81" s="8"/>
      <c r="M81" s="7" t="str">
        <f t="shared" si="26"/>
        <v>COFFEE OLIVINE</v>
      </c>
      <c r="N81" s="4">
        <f t="shared" si="24"/>
        <v>0</v>
      </c>
      <c r="O81" s="4">
        <f t="shared" si="24"/>
        <v>0</v>
      </c>
      <c r="P81" s="4">
        <f t="shared" si="24"/>
        <v>0</v>
      </c>
      <c r="Q81" s="4">
        <f t="shared" si="24"/>
        <v>0</v>
      </c>
    </row>
    <row r="82" spans="1:21" x14ac:dyDescent="0.25">
      <c r="A82" s="9" t="s">
        <v>14</v>
      </c>
      <c r="B82" s="8"/>
      <c r="C82" s="8"/>
      <c r="D82" s="8"/>
      <c r="E82" s="8"/>
      <c r="G82" s="5" t="str">
        <f t="shared" si="25"/>
        <v>PEWTER RARPBERRY</v>
      </c>
      <c r="H82" s="8"/>
      <c r="I82" s="8"/>
      <c r="J82" s="8"/>
      <c r="K82" s="8"/>
      <c r="M82" s="7" t="str">
        <f t="shared" si="26"/>
        <v>PEWTER RARPBERRY</v>
      </c>
      <c r="N82" s="4">
        <f t="shared" si="24"/>
        <v>0</v>
      </c>
      <c r="O82" s="4">
        <f t="shared" si="24"/>
        <v>0</v>
      </c>
      <c r="P82" s="4">
        <f t="shared" si="24"/>
        <v>0</v>
      </c>
      <c r="Q82" s="4">
        <f t="shared" si="24"/>
        <v>0</v>
      </c>
    </row>
    <row r="83" spans="1:21" x14ac:dyDescent="0.25">
      <c r="A83" s="9" t="s">
        <v>15</v>
      </c>
      <c r="B83" s="8"/>
      <c r="C83" s="8"/>
      <c r="D83" s="8"/>
      <c r="E83" s="8"/>
      <c r="G83" s="5" t="str">
        <f t="shared" si="25"/>
        <v>RASPBERRY PEWTER</v>
      </c>
      <c r="H83" s="8"/>
      <c r="I83" s="8"/>
      <c r="J83" s="8"/>
      <c r="K83" s="8"/>
      <c r="M83" s="7" t="str">
        <f t="shared" si="26"/>
        <v>RASPBERRY PEWTER</v>
      </c>
      <c r="N83" s="4">
        <f t="shared" si="24"/>
        <v>0</v>
      </c>
      <c r="O83" s="4">
        <f t="shared" si="24"/>
        <v>0</v>
      </c>
      <c r="P83" s="4">
        <f t="shared" si="24"/>
        <v>0</v>
      </c>
      <c r="Q83" s="4">
        <f t="shared" si="24"/>
        <v>0</v>
      </c>
    </row>
    <row r="84" spans="1:21" x14ac:dyDescent="0.25">
      <c r="A84" s="16" t="s">
        <v>56</v>
      </c>
      <c r="G84" s="16" t="s">
        <v>56</v>
      </c>
      <c r="M84" s="1"/>
      <c r="N84" s="1"/>
      <c r="O84" s="1"/>
      <c r="P84" s="1"/>
      <c r="Q84" s="1"/>
    </row>
    <row r="85" spans="1:21" x14ac:dyDescent="0.25">
      <c r="A85" s="2" t="s">
        <v>39</v>
      </c>
      <c r="B85" s="3" t="s">
        <v>3</v>
      </c>
      <c r="C85" s="3" t="s">
        <v>4</v>
      </c>
      <c r="D85" s="3" t="s">
        <v>5</v>
      </c>
      <c r="E85" s="3" t="s">
        <v>6</v>
      </c>
      <c r="G85" s="2" t="s">
        <v>40</v>
      </c>
      <c r="H85" s="3" t="s">
        <v>3</v>
      </c>
      <c r="I85" s="3" t="s">
        <v>4</v>
      </c>
      <c r="J85" s="3" t="s">
        <v>5</v>
      </c>
      <c r="K85" s="3" t="s">
        <v>6</v>
      </c>
      <c r="M85" s="2" t="s">
        <v>1</v>
      </c>
      <c r="N85" s="4" t="s">
        <v>3</v>
      </c>
      <c r="O85" s="4" t="s">
        <v>4</v>
      </c>
      <c r="P85" s="4" t="s">
        <v>5</v>
      </c>
      <c r="Q85" s="4" t="s">
        <v>6</v>
      </c>
      <c r="S85" s="11" t="s">
        <v>1</v>
      </c>
      <c r="U85" s="11" t="str">
        <f>S85</f>
        <v>SOMMA</v>
      </c>
    </row>
    <row r="86" spans="1:21" x14ac:dyDescent="0.25">
      <c r="A86" s="5" t="s">
        <v>8</v>
      </c>
      <c r="B86" s="6"/>
      <c r="C86" s="6">
        <f>4</f>
        <v>4</v>
      </c>
      <c r="D86" s="6">
        <f>8</f>
        <v>8</v>
      </c>
      <c r="E86" s="6">
        <f>16</f>
        <v>16</v>
      </c>
      <c r="G86" s="5" t="str">
        <f>A86</f>
        <v>AVIATOR ORIENT</v>
      </c>
      <c r="H86" s="6"/>
      <c r="I86" s="6"/>
      <c r="J86" s="6"/>
      <c r="K86" s="6"/>
      <c r="M86" s="7" t="str">
        <f>G86</f>
        <v>AVIATOR ORIENT</v>
      </c>
      <c r="N86" s="4">
        <f>B86+H86</f>
        <v>0</v>
      </c>
      <c r="O86" s="4">
        <f>C86+I86</f>
        <v>4</v>
      </c>
      <c r="P86" s="4">
        <f>D86+J86</f>
        <v>8</v>
      </c>
      <c r="Q86" s="4">
        <f>E86+K86</f>
        <v>16</v>
      </c>
      <c r="S86" s="13">
        <v>19.52</v>
      </c>
      <c r="U86" s="13">
        <f>S86*SUM(N86:Q93)</f>
        <v>6714.88</v>
      </c>
    </row>
    <row r="87" spans="1:21" x14ac:dyDescent="0.25">
      <c r="A87" s="5" t="s">
        <v>9</v>
      </c>
      <c r="B87" s="6"/>
      <c r="C87" s="6">
        <f>26</f>
        <v>26</v>
      </c>
      <c r="D87" s="6">
        <f>38</f>
        <v>38</v>
      </c>
      <c r="E87" s="6">
        <f>22</f>
        <v>22</v>
      </c>
      <c r="G87" s="5" t="str">
        <f>A87</f>
        <v>NAVY AVIATOR</v>
      </c>
      <c r="H87" s="6"/>
      <c r="I87" s="6"/>
      <c r="J87" s="6"/>
      <c r="K87" s="6"/>
      <c r="M87" s="7" t="str">
        <f>G87</f>
        <v>NAVY AVIATOR</v>
      </c>
      <c r="N87" s="4">
        <f t="shared" ref="N87:Q93" si="27">B87+H87</f>
        <v>0</v>
      </c>
      <c r="O87" s="4">
        <f t="shared" si="27"/>
        <v>26</v>
      </c>
      <c r="P87" s="4">
        <f t="shared" si="27"/>
        <v>38</v>
      </c>
      <c r="Q87" s="4">
        <f t="shared" si="27"/>
        <v>22</v>
      </c>
    </row>
    <row r="88" spans="1:21" x14ac:dyDescent="0.25">
      <c r="A88" s="5" t="s">
        <v>10</v>
      </c>
      <c r="B88" s="8"/>
      <c r="C88" s="8">
        <f>26</f>
        <v>26</v>
      </c>
      <c r="D88" s="8">
        <f>50</f>
        <v>50</v>
      </c>
      <c r="E88" s="8">
        <f>28</f>
        <v>28</v>
      </c>
      <c r="G88" s="5" t="str">
        <f t="shared" ref="G88:G93" si="28">A88</f>
        <v>INK PEWTER</v>
      </c>
      <c r="H88" s="8"/>
      <c r="I88" s="8"/>
      <c r="J88" s="8"/>
      <c r="K88" s="8"/>
      <c r="M88" s="7" t="str">
        <f t="shared" ref="M88:M93" si="29">G88</f>
        <v>INK PEWTER</v>
      </c>
      <c r="N88" s="4">
        <f t="shared" si="27"/>
        <v>0</v>
      </c>
      <c r="O88" s="4">
        <f t="shared" si="27"/>
        <v>26</v>
      </c>
      <c r="P88" s="4">
        <f t="shared" si="27"/>
        <v>50</v>
      </c>
      <c r="Q88" s="4">
        <f t="shared" si="27"/>
        <v>28</v>
      </c>
    </row>
    <row r="89" spans="1:21" x14ac:dyDescent="0.25">
      <c r="A89" s="9" t="s">
        <v>11</v>
      </c>
      <c r="B89" s="8"/>
      <c r="C89" s="8">
        <f>29</f>
        <v>29</v>
      </c>
      <c r="D89" s="8">
        <f>32</f>
        <v>32</v>
      </c>
      <c r="E89" s="8">
        <f>18</f>
        <v>18</v>
      </c>
      <c r="G89" s="5" t="str">
        <f t="shared" si="28"/>
        <v>IRON INK</v>
      </c>
      <c r="H89" s="8"/>
      <c r="I89" s="8"/>
      <c r="J89" s="8"/>
      <c r="K89" s="8"/>
      <c r="M89" s="7" t="str">
        <f t="shared" si="29"/>
        <v>IRON INK</v>
      </c>
      <c r="N89" s="4">
        <f t="shared" si="27"/>
        <v>0</v>
      </c>
      <c r="O89" s="4">
        <f t="shared" si="27"/>
        <v>29</v>
      </c>
      <c r="P89" s="4">
        <f t="shared" si="27"/>
        <v>32</v>
      </c>
      <c r="Q89" s="4">
        <f t="shared" si="27"/>
        <v>18</v>
      </c>
    </row>
    <row r="90" spans="1:21" x14ac:dyDescent="0.25">
      <c r="A90" s="9" t="s">
        <v>12</v>
      </c>
      <c r="B90" s="8"/>
      <c r="C90" s="8">
        <f>8</f>
        <v>8</v>
      </c>
      <c r="D90" s="8">
        <f>6</f>
        <v>6</v>
      </c>
      <c r="E90" s="8">
        <f>6</f>
        <v>6</v>
      </c>
      <c r="G90" s="5" t="str">
        <f t="shared" si="28"/>
        <v>OLIVINE COFFEE</v>
      </c>
      <c r="H90" s="8"/>
      <c r="I90" s="8"/>
      <c r="J90" s="8"/>
      <c r="K90" s="8"/>
      <c r="M90" s="7" t="str">
        <f t="shared" si="29"/>
        <v>OLIVINE COFFEE</v>
      </c>
      <c r="N90" s="4">
        <f t="shared" si="27"/>
        <v>0</v>
      </c>
      <c r="O90" s="4">
        <f t="shared" si="27"/>
        <v>8</v>
      </c>
      <c r="P90" s="4">
        <f t="shared" si="27"/>
        <v>6</v>
      </c>
      <c r="Q90" s="4">
        <f t="shared" si="27"/>
        <v>6</v>
      </c>
    </row>
    <row r="91" spans="1:21" x14ac:dyDescent="0.25">
      <c r="A91" s="9" t="s">
        <v>13</v>
      </c>
      <c r="B91" s="8"/>
      <c r="C91" s="8">
        <f>9</f>
        <v>9</v>
      </c>
      <c r="D91" s="8">
        <f>8</f>
        <v>8</v>
      </c>
      <c r="E91" s="8">
        <f>10</f>
        <v>10</v>
      </c>
      <c r="G91" s="5" t="str">
        <f t="shared" si="28"/>
        <v>COFFEE OLIVINE</v>
      </c>
      <c r="H91" s="8"/>
      <c r="I91" s="8"/>
      <c r="J91" s="8"/>
      <c r="K91" s="8"/>
      <c r="M91" s="7" t="str">
        <f t="shared" si="29"/>
        <v>COFFEE OLIVINE</v>
      </c>
      <c r="N91" s="4">
        <f t="shared" si="27"/>
        <v>0</v>
      </c>
      <c r="O91" s="4">
        <f t="shared" si="27"/>
        <v>9</v>
      </c>
      <c r="P91" s="4">
        <f t="shared" si="27"/>
        <v>8</v>
      </c>
      <c r="Q91" s="4">
        <f t="shared" si="27"/>
        <v>10</v>
      </c>
    </row>
    <row r="92" spans="1:21" x14ac:dyDescent="0.25">
      <c r="A92" s="9" t="s">
        <v>14</v>
      </c>
      <c r="B92" s="8"/>
      <c r="C92" s="8"/>
      <c r="D92" s="8"/>
      <c r="E92" s="8"/>
      <c r="G92" s="5" t="str">
        <f t="shared" si="28"/>
        <v>PEWTER RARPBERRY</v>
      </c>
      <c r="H92" s="8"/>
      <c r="I92" s="8"/>
      <c r="J92" s="8"/>
      <c r="K92" s="8"/>
      <c r="M92" s="7" t="str">
        <f t="shared" si="29"/>
        <v>PEWTER RARPBERRY</v>
      </c>
      <c r="N92" s="4">
        <f t="shared" si="27"/>
        <v>0</v>
      </c>
      <c r="O92" s="4">
        <f t="shared" si="27"/>
        <v>0</v>
      </c>
      <c r="P92" s="4">
        <f t="shared" si="27"/>
        <v>0</v>
      </c>
      <c r="Q92" s="4">
        <f t="shared" si="27"/>
        <v>0</v>
      </c>
    </row>
    <row r="93" spans="1:21" x14ac:dyDescent="0.25">
      <c r="A93" s="9" t="s">
        <v>15</v>
      </c>
      <c r="B93" s="8"/>
      <c r="C93" s="8"/>
      <c r="D93" s="8"/>
      <c r="E93" s="8"/>
      <c r="G93" s="5" t="str">
        <f t="shared" si="28"/>
        <v>RASPBERRY PEWTER</v>
      </c>
      <c r="H93" s="8"/>
      <c r="I93" s="8"/>
      <c r="J93" s="8"/>
      <c r="K93" s="8"/>
      <c r="M93" s="7" t="str">
        <f t="shared" si="29"/>
        <v>RASPBERRY PEWTER</v>
      </c>
      <c r="N93" s="4">
        <f t="shared" si="27"/>
        <v>0</v>
      </c>
      <c r="O93" s="4">
        <f t="shared" si="27"/>
        <v>0</v>
      </c>
      <c r="P93" s="4">
        <f t="shared" si="27"/>
        <v>0</v>
      </c>
      <c r="Q93" s="4">
        <f t="shared" si="27"/>
        <v>0</v>
      </c>
    </row>
    <row r="94" spans="1:21" x14ac:dyDescent="0.25">
      <c r="G94" s="16" t="s">
        <v>57</v>
      </c>
      <c r="M94" s="1"/>
      <c r="N94" s="1"/>
      <c r="O94" s="1"/>
      <c r="P94" s="1"/>
      <c r="Q94" s="1"/>
    </row>
    <row r="95" spans="1:21" x14ac:dyDescent="0.25">
      <c r="G95" s="2" t="s">
        <v>41</v>
      </c>
      <c r="H95" s="3" t="s">
        <v>3</v>
      </c>
      <c r="I95" s="3" t="s">
        <v>4</v>
      </c>
      <c r="J95" s="3" t="s">
        <v>5</v>
      </c>
      <c r="K95" s="3" t="s">
        <v>6</v>
      </c>
      <c r="M95" s="2" t="s">
        <v>1</v>
      </c>
      <c r="N95" s="4" t="s">
        <v>3</v>
      </c>
      <c r="O95" s="4" t="s">
        <v>4</v>
      </c>
      <c r="P95" s="4" t="s">
        <v>5</v>
      </c>
      <c r="Q95" s="4" t="s">
        <v>6</v>
      </c>
      <c r="S95" s="11" t="s">
        <v>1</v>
      </c>
      <c r="U95" s="11" t="str">
        <f>S95</f>
        <v>SOMMA</v>
      </c>
    </row>
    <row r="96" spans="1:21" x14ac:dyDescent="0.25">
      <c r="G96" s="5" t="s">
        <v>10</v>
      </c>
      <c r="H96" s="6">
        <f>35</f>
        <v>35</v>
      </c>
      <c r="I96" s="6">
        <f>19+40</f>
        <v>59</v>
      </c>
      <c r="J96" s="6">
        <f>40+14+40</f>
        <v>94</v>
      </c>
      <c r="K96" s="6"/>
      <c r="M96" s="7" t="s">
        <v>10</v>
      </c>
      <c r="N96" s="4">
        <f>35</f>
        <v>35</v>
      </c>
      <c r="O96" s="4">
        <f>19+40</f>
        <v>59</v>
      </c>
      <c r="P96" s="4">
        <f>40+14+40</f>
        <v>94</v>
      </c>
      <c r="Q96" s="4"/>
      <c r="S96" s="13">
        <v>21.96</v>
      </c>
      <c r="U96" s="13">
        <f>S96*SUM(N96:Q99)</f>
        <v>13351.68</v>
      </c>
    </row>
    <row r="97" spans="7:21" x14ac:dyDescent="0.25">
      <c r="G97" s="5" t="s">
        <v>9</v>
      </c>
      <c r="H97" s="6">
        <f>26</f>
        <v>26</v>
      </c>
      <c r="I97" s="6">
        <f>14+39</f>
        <v>53</v>
      </c>
      <c r="J97" s="6">
        <f>14+40+12</f>
        <v>66</v>
      </c>
      <c r="K97" s="6"/>
      <c r="M97" s="7" t="s">
        <v>9</v>
      </c>
      <c r="N97" s="4">
        <f>26</f>
        <v>26</v>
      </c>
      <c r="O97" s="4">
        <f>14+39</f>
        <v>53</v>
      </c>
      <c r="P97" s="4">
        <f>14+40+12</f>
        <v>66</v>
      </c>
      <c r="Q97" s="4"/>
    </row>
    <row r="98" spans="7:21" x14ac:dyDescent="0.25">
      <c r="G98" s="5" t="s">
        <v>11</v>
      </c>
      <c r="H98" s="8">
        <f>39</f>
        <v>39</v>
      </c>
      <c r="I98" s="8">
        <f>27</f>
        <v>27</v>
      </c>
      <c r="J98" s="8">
        <f>40+40+4</f>
        <v>84</v>
      </c>
      <c r="K98" s="8"/>
      <c r="M98" s="7" t="s">
        <v>11</v>
      </c>
      <c r="N98" s="7">
        <f>39</f>
        <v>39</v>
      </c>
      <c r="O98" s="7">
        <f>27</f>
        <v>27</v>
      </c>
      <c r="P98" s="7">
        <f>40+40+4</f>
        <v>84</v>
      </c>
      <c r="Q98" s="7"/>
    </row>
    <row r="99" spans="7:21" x14ac:dyDescent="0.25">
      <c r="G99" s="5" t="s">
        <v>42</v>
      </c>
      <c r="H99" s="8">
        <f>29</f>
        <v>29</v>
      </c>
      <c r="I99" s="8">
        <f>29</f>
        <v>29</v>
      </c>
      <c r="J99" s="8">
        <f>40+27</f>
        <v>67</v>
      </c>
      <c r="K99" s="8"/>
      <c r="M99" s="7" t="s">
        <v>42</v>
      </c>
      <c r="N99" s="7">
        <f>29</f>
        <v>29</v>
      </c>
      <c r="O99" s="7">
        <f>29</f>
        <v>29</v>
      </c>
      <c r="P99" s="7">
        <f>40+27</f>
        <v>67</v>
      </c>
      <c r="Q99" s="7"/>
    </row>
    <row r="100" spans="7:21" x14ac:dyDescent="0.25">
      <c r="G100" s="17" t="s">
        <v>58</v>
      </c>
      <c r="M100" s="1"/>
      <c r="N100" s="1"/>
      <c r="O100" s="1"/>
      <c r="P100" s="1"/>
      <c r="Q100" s="1"/>
    </row>
    <row r="101" spans="7:21" x14ac:dyDescent="0.25">
      <c r="G101" s="2" t="s">
        <v>41</v>
      </c>
      <c r="H101" s="3" t="s">
        <v>3</v>
      </c>
      <c r="I101" s="3" t="s">
        <v>4</v>
      </c>
      <c r="J101" s="3" t="s">
        <v>5</v>
      </c>
      <c r="K101" s="3" t="s">
        <v>6</v>
      </c>
      <c r="M101" s="2" t="s">
        <v>1</v>
      </c>
      <c r="N101" s="4" t="s">
        <v>3</v>
      </c>
      <c r="O101" s="4" t="s">
        <v>4</v>
      </c>
      <c r="P101" s="4" t="s">
        <v>5</v>
      </c>
      <c r="Q101" s="4" t="s">
        <v>6</v>
      </c>
      <c r="S101" s="11" t="s">
        <v>1</v>
      </c>
      <c r="U101" s="11" t="str">
        <f>S101</f>
        <v>SOMMA</v>
      </c>
    </row>
    <row r="102" spans="7:21" x14ac:dyDescent="0.25">
      <c r="G102" s="5" t="s">
        <v>43</v>
      </c>
      <c r="H102" s="6">
        <f>24</f>
        <v>24</v>
      </c>
      <c r="I102" s="6">
        <f>41</f>
        <v>41</v>
      </c>
      <c r="J102" s="6">
        <f>28</f>
        <v>28</v>
      </c>
      <c r="K102" s="6"/>
      <c r="M102" s="7" t="s">
        <v>43</v>
      </c>
      <c r="N102" s="4">
        <f>24</f>
        <v>24</v>
      </c>
      <c r="O102" s="4">
        <f>41</f>
        <v>41</v>
      </c>
      <c r="P102" s="4">
        <f>28</f>
        <v>28</v>
      </c>
      <c r="Q102" s="4"/>
      <c r="S102" s="13">
        <v>21.96</v>
      </c>
      <c r="U102" s="13">
        <f>S102*SUM(N102:Q103)</f>
        <v>4457.88</v>
      </c>
    </row>
    <row r="103" spans="7:21" x14ac:dyDescent="0.25">
      <c r="G103" s="5" t="s">
        <v>44</v>
      </c>
      <c r="H103" s="6">
        <f>33</f>
        <v>33</v>
      </c>
      <c r="I103" s="6">
        <f>44</f>
        <v>44</v>
      </c>
      <c r="J103" s="6">
        <f>33</f>
        <v>33</v>
      </c>
      <c r="K103" s="6"/>
      <c r="M103" s="7" t="s">
        <v>44</v>
      </c>
      <c r="N103" s="4">
        <f>33</f>
        <v>33</v>
      </c>
      <c r="O103" s="4">
        <f>44</f>
        <v>44</v>
      </c>
      <c r="P103" s="4">
        <f>33</f>
        <v>33</v>
      </c>
      <c r="Q103" s="4"/>
      <c r="U103" s="14" t="s">
        <v>47</v>
      </c>
    </row>
    <row r="104" spans="7:21" x14ac:dyDescent="0.25">
      <c r="U104" s="15">
        <f>SUM(N4:Q103)</f>
        <v>6940</v>
      </c>
    </row>
    <row r="105" spans="7:21" x14ac:dyDescent="0.25">
      <c r="U105" s="11" t="s">
        <v>46</v>
      </c>
    </row>
    <row r="106" spans="7:21" x14ac:dyDescent="0.25">
      <c r="U106" s="13">
        <f>SUM(U4+U14+U24+U34+U44+U54+U65+U76+U86+U96+U102)</f>
        <v>132417.58000000002</v>
      </c>
    </row>
  </sheetData>
  <mergeCells count="2">
    <mergeCell ref="A1:K1"/>
    <mergeCell ref="M1:Q1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H1" workbookViewId="0">
      <selection activeCell="S1" sqref="S1"/>
    </sheetView>
  </sheetViews>
  <sheetFormatPr defaultColWidth="8.85546875" defaultRowHeight="15" x14ac:dyDescent="0.25"/>
  <cols>
    <col min="1" max="1" width="19.7109375" bestFit="1" customWidth="1"/>
    <col min="7" max="7" width="19.7109375" bestFit="1" customWidth="1"/>
    <col min="13" max="13" width="19.7109375" bestFit="1" customWidth="1"/>
    <col min="19" max="19" width="24.42578125" bestFit="1" customWidth="1"/>
    <col min="21" max="21" width="10.42578125" bestFit="1" customWidth="1"/>
  </cols>
  <sheetData>
    <row r="1" spans="1:2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M1" s="27" t="s">
        <v>1</v>
      </c>
      <c r="N1" s="28"/>
      <c r="O1" s="28"/>
      <c r="P1" s="28"/>
      <c r="Q1" s="29"/>
      <c r="S1" s="11" t="s">
        <v>122</v>
      </c>
      <c r="U1" s="11" t="s">
        <v>46</v>
      </c>
    </row>
    <row r="2" spans="1:21" x14ac:dyDescent="0.25">
      <c r="M2" s="1"/>
      <c r="N2" s="1"/>
      <c r="O2" s="1"/>
      <c r="P2" s="1"/>
      <c r="Q2" s="1"/>
      <c r="S2" s="12"/>
      <c r="U2" s="12"/>
    </row>
    <row r="3" spans="1:21" x14ac:dyDescent="0.25">
      <c r="A3" s="2" t="s">
        <v>59</v>
      </c>
      <c r="B3" s="3" t="s">
        <v>3</v>
      </c>
      <c r="C3" s="3" t="s">
        <v>4</v>
      </c>
      <c r="D3" s="3" t="s">
        <v>5</v>
      </c>
      <c r="E3" s="3" t="s">
        <v>6</v>
      </c>
      <c r="G3" s="2" t="s">
        <v>60</v>
      </c>
      <c r="H3" s="3" t="s">
        <v>3</v>
      </c>
      <c r="I3" s="3" t="s">
        <v>4</v>
      </c>
      <c r="J3" s="3" t="s">
        <v>5</v>
      </c>
      <c r="K3" s="3" t="s">
        <v>6</v>
      </c>
      <c r="M3" s="2" t="s">
        <v>1</v>
      </c>
      <c r="N3" s="4" t="s">
        <v>3</v>
      </c>
      <c r="O3" s="4" t="s">
        <v>4</v>
      </c>
      <c r="P3" s="4" t="s">
        <v>5</v>
      </c>
      <c r="Q3" s="4" t="s">
        <v>6</v>
      </c>
      <c r="S3" s="11" t="s">
        <v>60</v>
      </c>
      <c r="U3" s="11" t="str">
        <f>S3</f>
        <v>1177-081</v>
      </c>
    </row>
    <row r="4" spans="1:21" x14ac:dyDescent="0.25">
      <c r="A4" s="5" t="s">
        <v>61</v>
      </c>
      <c r="B4" s="6"/>
      <c r="C4" s="6">
        <f>20</f>
        <v>20</v>
      </c>
      <c r="D4" s="6">
        <f>2</f>
        <v>2</v>
      </c>
      <c r="E4" s="6">
        <f>34</f>
        <v>34</v>
      </c>
      <c r="G4" s="5" t="str">
        <f>A4</f>
        <v>MULTICOLOR WHITE</v>
      </c>
      <c r="H4" s="6">
        <f>40+2</f>
        <v>42</v>
      </c>
      <c r="I4" s="6">
        <f>40+40+10-2</f>
        <v>88</v>
      </c>
      <c r="J4" s="6">
        <f>40+25</f>
        <v>65</v>
      </c>
      <c r="K4" s="6"/>
      <c r="M4" s="7" t="str">
        <f>G4</f>
        <v>MULTICOLOR WHITE</v>
      </c>
      <c r="N4" s="4">
        <f t="shared" ref="N4:Q5" si="0">B4+H4</f>
        <v>42</v>
      </c>
      <c r="O4" s="4">
        <f t="shared" si="0"/>
        <v>108</v>
      </c>
      <c r="P4" s="4">
        <f t="shared" si="0"/>
        <v>67</v>
      </c>
      <c r="Q4" s="4">
        <f t="shared" si="0"/>
        <v>34</v>
      </c>
      <c r="S4" s="13">
        <v>19.52</v>
      </c>
      <c r="U4" s="13">
        <f>S4*SUM(N4:Q5)</f>
        <v>6832</v>
      </c>
    </row>
    <row r="5" spans="1:21" x14ac:dyDescent="0.25">
      <c r="A5" s="5" t="s">
        <v>62</v>
      </c>
      <c r="B5" s="6"/>
      <c r="C5" s="6"/>
      <c r="D5" s="6"/>
      <c r="E5" s="6">
        <f>14</f>
        <v>14</v>
      </c>
      <c r="G5" s="5" t="str">
        <f>A5</f>
        <v>MULTICOLOR BLACK</v>
      </c>
      <c r="H5" s="6">
        <f>38+6</f>
        <v>44</v>
      </c>
      <c r="I5" s="6">
        <f>1+40</f>
        <v>41</v>
      </c>
      <c r="J5" s="6"/>
      <c r="K5" s="6"/>
      <c r="M5" s="7" t="str">
        <f>G5</f>
        <v>MULTICOLOR BLACK</v>
      </c>
      <c r="N5" s="4">
        <f t="shared" si="0"/>
        <v>44</v>
      </c>
      <c r="O5" s="4">
        <f t="shared" si="0"/>
        <v>41</v>
      </c>
      <c r="P5" s="4">
        <f t="shared" si="0"/>
        <v>0</v>
      </c>
      <c r="Q5" s="4">
        <f t="shared" si="0"/>
        <v>14</v>
      </c>
      <c r="S5" s="12"/>
      <c r="U5" s="12"/>
    </row>
    <row r="6" spans="1:21" x14ac:dyDescent="0.25">
      <c r="M6" s="1"/>
      <c r="N6" s="1"/>
      <c r="O6" s="1"/>
      <c r="P6" s="1"/>
      <c r="Q6" s="1"/>
      <c r="S6" s="12"/>
      <c r="U6" s="12"/>
    </row>
    <row r="7" spans="1:21" x14ac:dyDescent="0.25">
      <c r="A7" s="2" t="s">
        <v>63</v>
      </c>
      <c r="B7" s="3" t="s">
        <v>3</v>
      </c>
      <c r="C7" s="3" t="s">
        <v>4</v>
      </c>
      <c r="D7" s="3" t="s">
        <v>5</v>
      </c>
      <c r="E7" s="3" t="s">
        <v>6</v>
      </c>
      <c r="G7" s="2" t="s">
        <v>64</v>
      </c>
      <c r="H7" s="3" t="s">
        <v>3</v>
      </c>
      <c r="I7" s="3" t="s">
        <v>4</v>
      </c>
      <c r="J7" s="3" t="s">
        <v>5</v>
      </c>
      <c r="K7" s="3" t="s">
        <v>6</v>
      </c>
      <c r="M7" s="2" t="s">
        <v>1</v>
      </c>
      <c r="N7" s="4" t="s">
        <v>3</v>
      </c>
      <c r="O7" s="4" t="s">
        <v>4</v>
      </c>
      <c r="P7" s="4" t="s">
        <v>5</v>
      </c>
      <c r="Q7" s="4" t="s">
        <v>6</v>
      </c>
      <c r="S7" s="11" t="s">
        <v>64</v>
      </c>
      <c r="U7" s="11" t="str">
        <f>S7</f>
        <v>1177-082</v>
      </c>
    </row>
    <row r="8" spans="1:21" x14ac:dyDescent="0.25">
      <c r="A8" s="5" t="s">
        <v>65</v>
      </c>
      <c r="B8" s="6"/>
      <c r="C8" s="6"/>
      <c r="D8" s="6">
        <f>11</f>
        <v>11</v>
      </c>
      <c r="E8" s="6">
        <f>15+40</f>
        <v>55</v>
      </c>
      <c r="G8" s="5" t="str">
        <f>A8</f>
        <v>MULTISTRIPES WHITE</v>
      </c>
      <c r="H8" s="6">
        <f>40+31</f>
        <v>71</v>
      </c>
      <c r="I8" s="6">
        <f>40+40+36-2</f>
        <v>114</v>
      </c>
      <c r="J8" s="6">
        <f>21+40</f>
        <v>61</v>
      </c>
      <c r="K8" s="6"/>
      <c r="M8" s="7" t="str">
        <f>G8</f>
        <v>MULTISTRIPES WHITE</v>
      </c>
      <c r="N8" s="4">
        <f t="shared" ref="N8:Q9" si="1">B8+H8</f>
        <v>71</v>
      </c>
      <c r="O8" s="4">
        <f t="shared" si="1"/>
        <v>114</v>
      </c>
      <c r="P8" s="4">
        <f t="shared" si="1"/>
        <v>72</v>
      </c>
      <c r="Q8" s="4">
        <f t="shared" si="1"/>
        <v>55</v>
      </c>
      <c r="S8" s="13">
        <v>19.52</v>
      </c>
      <c r="U8" s="13">
        <f>S8*SUM(N8:Q9)</f>
        <v>8296</v>
      </c>
    </row>
    <row r="9" spans="1:21" x14ac:dyDescent="0.25">
      <c r="A9" s="5" t="s">
        <v>66</v>
      </c>
      <c r="B9" s="6"/>
      <c r="C9" s="6">
        <f>1</f>
        <v>1</v>
      </c>
      <c r="D9" s="6"/>
      <c r="E9" s="6">
        <f>3+40</f>
        <v>43</v>
      </c>
      <c r="G9" s="5" t="str">
        <f>A9</f>
        <v>MULTISTRIPES BLACK</v>
      </c>
      <c r="H9" s="6">
        <v>31</v>
      </c>
      <c r="I9" s="6">
        <f>38</f>
        <v>38</v>
      </c>
      <c r="J9" s="6"/>
      <c r="K9" s="6"/>
      <c r="M9" s="7" t="str">
        <f>G9</f>
        <v>MULTISTRIPES BLACK</v>
      </c>
      <c r="N9" s="4">
        <f t="shared" si="1"/>
        <v>31</v>
      </c>
      <c r="O9" s="4">
        <f t="shared" si="1"/>
        <v>39</v>
      </c>
      <c r="P9" s="4">
        <f t="shared" si="1"/>
        <v>0</v>
      </c>
      <c r="Q9" s="4">
        <f t="shared" si="1"/>
        <v>43</v>
      </c>
      <c r="S9" s="12"/>
      <c r="U9" s="12"/>
    </row>
    <row r="10" spans="1:21" x14ac:dyDescent="0.25">
      <c r="M10" s="1"/>
      <c r="N10" s="1"/>
      <c r="O10" s="1"/>
      <c r="P10" s="1"/>
      <c r="Q10" s="1"/>
      <c r="S10" s="12"/>
      <c r="U10" s="12"/>
    </row>
    <row r="11" spans="1:21" x14ac:dyDescent="0.25">
      <c r="A11" s="2" t="s">
        <v>67</v>
      </c>
      <c r="B11" s="3" t="s">
        <v>3</v>
      </c>
      <c r="C11" s="3" t="s">
        <v>4</v>
      </c>
      <c r="D11" s="3" t="s">
        <v>5</v>
      </c>
      <c r="E11" s="3" t="s">
        <v>6</v>
      </c>
      <c r="G11" s="2" t="s">
        <v>68</v>
      </c>
      <c r="H11" s="3" t="s">
        <v>3</v>
      </c>
      <c r="I11" s="3" t="s">
        <v>4</v>
      </c>
      <c r="J11" s="3" t="s">
        <v>5</v>
      </c>
      <c r="K11" s="3" t="s">
        <v>6</v>
      </c>
      <c r="M11" s="2" t="s">
        <v>1</v>
      </c>
      <c r="N11" s="4" t="s">
        <v>3</v>
      </c>
      <c r="O11" s="4" t="s">
        <v>4</v>
      </c>
      <c r="P11" s="4" t="s">
        <v>5</v>
      </c>
      <c r="Q11" s="4" t="s">
        <v>6</v>
      </c>
      <c r="S11" s="11" t="s">
        <v>68</v>
      </c>
      <c r="U11" s="11" t="str">
        <f>S11</f>
        <v>1177-083</v>
      </c>
    </row>
    <row r="12" spans="1:21" x14ac:dyDescent="0.25">
      <c r="A12" s="5" t="s">
        <v>69</v>
      </c>
      <c r="B12" s="6"/>
      <c r="C12" s="6">
        <f>7</f>
        <v>7</v>
      </c>
      <c r="D12" s="6">
        <f>9</f>
        <v>9</v>
      </c>
      <c r="E12" s="6">
        <f>37</f>
        <v>37</v>
      </c>
      <c r="G12" s="5" t="str">
        <f>A12</f>
        <v>MEGA SQUARE</v>
      </c>
      <c r="H12" s="6">
        <f>1+40+18</f>
        <v>59</v>
      </c>
      <c r="I12" s="6">
        <f>8+40+40-2</f>
        <v>86</v>
      </c>
      <c r="J12" s="6">
        <f>21+40</f>
        <v>61</v>
      </c>
      <c r="K12" s="6"/>
      <c r="M12" s="7" t="str">
        <f>G12</f>
        <v>MEGA SQUARE</v>
      </c>
      <c r="N12" s="4">
        <f>B12+H12</f>
        <v>59</v>
      </c>
      <c r="O12" s="4">
        <f>C12+I12</f>
        <v>93</v>
      </c>
      <c r="P12" s="4">
        <f>D12+J12</f>
        <v>70</v>
      </c>
      <c r="Q12" s="4">
        <f>E12+K12</f>
        <v>37</v>
      </c>
      <c r="S12" s="13">
        <v>19.52</v>
      </c>
      <c r="U12" s="13">
        <f>S12*SUM(N12:Q12)</f>
        <v>5055.68</v>
      </c>
    </row>
    <row r="13" spans="1:21" x14ac:dyDescent="0.25">
      <c r="B13" s="18"/>
      <c r="C13" s="18"/>
      <c r="D13" s="18"/>
      <c r="E13" s="18"/>
      <c r="H13" s="18"/>
      <c r="I13" s="18"/>
      <c r="J13" s="18"/>
      <c r="K13" s="18"/>
      <c r="M13" s="1"/>
      <c r="N13" s="1"/>
      <c r="O13" s="1"/>
      <c r="P13" s="1"/>
      <c r="Q13" s="1"/>
      <c r="S13" s="12"/>
      <c r="U13" s="12"/>
    </row>
    <row r="14" spans="1:21" x14ac:dyDescent="0.25">
      <c r="A14" s="2" t="s">
        <v>70</v>
      </c>
      <c r="B14" s="3" t="s">
        <v>3</v>
      </c>
      <c r="C14" s="3" t="s">
        <v>4</v>
      </c>
      <c r="D14" s="3" t="s">
        <v>5</v>
      </c>
      <c r="E14" s="3" t="s">
        <v>6</v>
      </c>
      <c r="G14" s="2" t="s">
        <v>71</v>
      </c>
      <c r="H14" s="3" t="s">
        <v>3</v>
      </c>
      <c r="I14" s="3" t="s">
        <v>4</v>
      </c>
      <c r="J14" s="3" t="s">
        <v>5</v>
      </c>
      <c r="K14" s="3" t="s">
        <v>6</v>
      </c>
      <c r="M14" s="2" t="s">
        <v>1</v>
      </c>
      <c r="N14" s="4" t="s">
        <v>3</v>
      </c>
      <c r="O14" s="4" t="s">
        <v>4</v>
      </c>
      <c r="P14" s="4" t="s">
        <v>5</v>
      </c>
      <c r="Q14" s="4" t="s">
        <v>6</v>
      </c>
      <c r="S14" s="11" t="s">
        <v>71</v>
      </c>
      <c r="U14" s="11" t="str">
        <f>S14</f>
        <v>1177-084</v>
      </c>
    </row>
    <row r="15" spans="1:21" x14ac:dyDescent="0.25">
      <c r="A15" s="5" t="s">
        <v>72</v>
      </c>
      <c r="B15" s="6"/>
      <c r="C15" s="6">
        <f>2</f>
        <v>2</v>
      </c>
      <c r="D15" s="6">
        <f>14</f>
        <v>14</v>
      </c>
      <c r="E15" s="6">
        <f>22+39</f>
        <v>61</v>
      </c>
      <c r="G15" s="5" t="str">
        <f>A15</f>
        <v>MULTICOLOR ORIENT</v>
      </c>
      <c r="H15" s="6">
        <f>27+40</f>
        <v>67</v>
      </c>
      <c r="I15" s="6">
        <f>32+40</f>
        <v>72</v>
      </c>
      <c r="J15" s="6">
        <f>34+40</f>
        <v>74</v>
      </c>
      <c r="K15" s="6"/>
      <c r="M15" s="7" t="str">
        <f>G15</f>
        <v>MULTICOLOR ORIENT</v>
      </c>
      <c r="N15" s="4">
        <f>B15+H15</f>
        <v>67</v>
      </c>
      <c r="O15" s="4">
        <f>C15+I15</f>
        <v>74</v>
      </c>
      <c r="P15" s="4">
        <f>D15+J15</f>
        <v>88</v>
      </c>
      <c r="Q15" s="4">
        <f>E15+K15</f>
        <v>61</v>
      </c>
      <c r="S15" s="13">
        <v>19.52</v>
      </c>
      <c r="U15" s="13">
        <f>S15*SUM(N15:Q15)</f>
        <v>5660.8</v>
      </c>
    </row>
    <row r="16" spans="1:21" x14ac:dyDescent="0.25">
      <c r="B16" s="18"/>
      <c r="C16" s="18"/>
      <c r="D16" s="18"/>
      <c r="E16" s="18"/>
      <c r="H16" s="18"/>
      <c r="I16" s="18"/>
      <c r="J16" s="18"/>
      <c r="K16" s="18"/>
      <c r="M16" s="1"/>
      <c r="N16" s="1"/>
      <c r="O16" s="1"/>
      <c r="P16" s="1"/>
      <c r="Q16" s="1"/>
      <c r="S16" s="12"/>
      <c r="U16" s="12"/>
    </row>
    <row r="17" spans="1:21" x14ac:dyDescent="0.25">
      <c r="A17" s="2" t="s">
        <v>73</v>
      </c>
      <c r="B17" s="3" t="s">
        <v>3</v>
      </c>
      <c r="C17" s="3" t="s">
        <v>4</v>
      </c>
      <c r="D17" s="3" t="s">
        <v>5</v>
      </c>
      <c r="E17" s="3" t="s">
        <v>6</v>
      </c>
      <c r="G17" s="2" t="s">
        <v>74</v>
      </c>
      <c r="H17" s="3" t="s">
        <v>3</v>
      </c>
      <c r="I17" s="3" t="s">
        <v>4</v>
      </c>
      <c r="J17" s="3" t="s">
        <v>5</v>
      </c>
      <c r="K17" s="3" t="s">
        <v>6</v>
      </c>
      <c r="M17" s="2" t="s">
        <v>1</v>
      </c>
      <c r="N17" s="4" t="s">
        <v>3</v>
      </c>
      <c r="O17" s="4" t="s">
        <v>4</v>
      </c>
      <c r="P17" s="4" t="s">
        <v>5</v>
      </c>
      <c r="Q17" s="4" t="s">
        <v>6</v>
      </c>
      <c r="S17" s="11" t="s">
        <v>74</v>
      </c>
      <c r="U17" s="11" t="str">
        <f>S17</f>
        <v>1177-085</v>
      </c>
    </row>
    <row r="18" spans="1:21" x14ac:dyDescent="0.25">
      <c r="A18" s="5" t="s">
        <v>75</v>
      </c>
      <c r="B18" s="6"/>
      <c r="C18" s="6">
        <f>1</f>
        <v>1</v>
      </c>
      <c r="D18" s="6">
        <f>5</f>
        <v>5</v>
      </c>
      <c r="E18" s="6">
        <f>39+1</f>
        <v>40</v>
      </c>
      <c r="G18" s="5" t="str">
        <f>A18</f>
        <v>SCARLET</v>
      </c>
      <c r="H18" s="6">
        <f>40+40+17</f>
        <v>97</v>
      </c>
      <c r="I18" s="6">
        <f>40+40+14</f>
        <v>94</v>
      </c>
      <c r="J18" s="6">
        <f>26+40+1</f>
        <v>67</v>
      </c>
      <c r="K18" s="6"/>
      <c r="M18" s="7" t="str">
        <f>G18</f>
        <v>SCARLET</v>
      </c>
      <c r="N18" s="4">
        <f t="shared" ref="N18:Q19" si="2">B18+H18</f>
        <v>97</v>
      </c>
      <c r="O18" s="4">
        <f t="shared" si="2"/>
        <v>95</v>
      </c>
      <c r="P18" s="4">
        <f t="shared" si="2"/>
        <v>72</v>
      </c>
      <c r="Q18" s="4">
        <f t="shared" si="2"/>
        <v>40</v>
      </c>
      <c r="S18" s="13">
        <v>19.52</v>
      </c>
      <c r="U18" s="13">
        <f>S18*SUM(N18:Q19)</f>
        <v>9623.36</v>
      </c>
    </row>
    <row r="19" spans="1:21" x14ac:dyDescent="0.25">
      <c r="A19" s="5" t="s">
        <v>76</v>
      </c>
      <c r="B19" s="6"/>
      <c r="C19" s="6">
        <f>3+40</f>
        <v>43</v>
      </c>
      <c r="D19" s="6"/>
      <c r="E19" s="6">
        <f>19</f>
        <v>19</v>
      </c>
      <c r="G19" s="5" t="str">
        <f>A19</f>
        <v>ROYAL</v>
      </c>
      <c r="H19" s="6">
        <f>40+32</f>
        <v>72</v>
      </c>
      <c r="I19" s="6">
        <f>40+15</f>
        <v>55</v>
      </c>
      <c r="J19" s="6"/>
      <c r="K19" s="6"/>
      <c r="M19" s="7" t="str">
        <f>G19</f>
        <v>ROYAL</v>
      </c>
      <c r="N19" s="4">
        <f t="shared" si="2"/>
        <v>72</v>
      </c>
      <c r="O19" s="4">
        <f t="shared" si="2"/>
        <v>98</v>
      </c>
      <c r="P19" s="4">
        <f t="shared" si="2"/>
        <v>0</v>
      </c>
      <c r="Q19" s="4">
        <f t="shared" si="2"/>
        <v>19</v>
      </c>
      <c r="S19" s="12"/>
      <c r="U19" s="12"/>
    </row>
    <row r="20" spans="1:21" x14ac:dyDescent="0.25">
      <c r="B20" s="18"/>
      <c r="C20" s="18"/>
      <c r="D20" s="18"/>
      <c r="E20" s="18"/>
      <c r="H20" s="18"/>
      <c r="I20" s="18"/>
      <c r="J20" s="18"/>
      <c r="K20" s="18"/>
      <c r="M20" s="1"/>
      <c r="N20" s="1"/>
      <c r="O20" s="1"/>
      <c r="P20" s="1"/>
      <c r="Q20" s="1"/>
      <c r="S20" s="12"/>
      <c r="U20" s="12"/>
    </row>
    <row r="21" spans="1:21" x14ac:dyDescent="0.25">
      <c r="A21" s="2" t="s">
        <v>77</v>
      </c>
      <c r="B21" s="3" t="s">
        <v>3</v>
      </c>
      <c r="C21" s="3" t="s">
        <v>4</v>
      </c>
      <c r="D21" s="3" t="s">
        <v>5</v>
      </c>
      <c r="E21" s="3" t="s">
        <v>6</v>
      </c>
      <c r="G21" s="2" t="s">
        <v>78</v>
      </c>
      <c r="H21" s="3" t="s">
        <v>3</v>
      </c>
      <c r="I21" s="3" t="s">
        <v>4</v>
      </c>
      <c r="J21" s="3" t="s">
        <v>5</v>
      </c>
      <c r="K21" s="3" t="s">
        <v>6</v>
      </c>
      <c r="M21" s="2" t="s">
        <v>1</v>
      </c>
      <c r="N21" s="4" t="s">
        <v>3</v>
      </c>
      <c r="O21" s="4" t="s">
        <v>4</v>
      </c>
      <c r="P21" s="4" t="s">
        <v>5</v>
      </c>
      <c r="Q21" s="4" t="s">
        <v>6</v>
      </c>
      <c r="S21" s="11" t="s">
        <v>78</v>
      </c>
      <c r="U21" s="11" t="str">
        <f>S21</f>
        <v>1177-086</v>
      </c>
    </row>
    <row r="22" spans="1:21" x14ac:dyDescent="0.25">
      <c r="A22" s="5" t="s">
        <v>79</v>
      </c>
      <c r="B22" s="6"/>
      <c r="C22" s="6">
        <f>10</f>
        <v>10</v>
      </c>
      <c r="D22" s="6">
        <f>11+40</f>
        <v>51</v>
      </c>
      <c r="E22" s="6">
        <f>10+40</f>
        <v>50</v>
      </c>
      <c r="G22" s="5" t="str">
        <f>A22</f>
        <v>MULTICOLOR PLAIN</v>
      </c>
      <c r="H22" s="6">
        <f>35+40</f>
        <v>75</v>
      </c>
      <c r="I22" s="6">
        <f>36+40+40</f>
        <v>116</v>
      </c>
      <c r="J22" s="6">
        <f>39</f>
        <v>39</v>
      </c>
      <c r="K22" s="6"/>
      <c r="M22" s="7" t="str">
        <f>G22</f>
        <v>MULTICOLOR PLAIN</v>
      </c>
      <c r="N22" s="4">
        <f t="shared" ref="N22:Q23" si="3">B22+H22</f>
        <v>75</v>
      </c>
      <c r="O22" s="4">
        <f t="shared" si="3"/>
        <v>126</v>
      </c>
      <c r="P22" s="4">
        <f t="shared" si="3"/>
        <v>90</v>
      </c>
      <c r="Q22" s="4">
        <f t="shared" si="3"/>
        <v>50</v>
      </c>
      <c r="S22" s="13">
        <v>19.52</v>
      </c>
      <c r="U22" s="13">
        <f>S22*SUM(N22:Q23)</f>
        <v>11380.16</v>
      </c>
    </row>
    <row r="23" spans="1:21" x14ac:dyDescent="0.25">
      <c r="A23" s="5" t="s">
        <v>80</v>
      </c>
      <c r="B23" s="6"/>
      <c r="C23" s="6">
        <f>8</f>
        <v>8</v>
      </c>
      <c r="D23" s="6">
        <f>15</f>
        <v>15</v>
      </c>
      <c r="E23" s="6">
        <f>40+26</f>
        <v>66</v>
      </c>
      <c r="G23" s="5" t="str">
        <f>A23</f>
        <v>GREY PLAIN</v>
      </c>
      <c r="H23" s="6">
        <f>40+29</f>
        <v>69</v>
      </c>
      <c r="I23" s="6">
        <f>40+40+4</f>
        <v>84</v>
      </c>
      <c r="J23" s="6"/>
      <c r="K23" s="6"/>
      <c r="M23" s="7" t="str">
        <f>G23</f>
        <v>GREY PLAIN</v>
      </c>
      <c r="N23" s="4">
        <f t="shared" si="3"/>
        <v>69</v>
      </c>
      <c r="O23" s="4">
        <f t="shared" si="3"/>
        <v>92</v>
      </c>
      <c r="P23" s="4">
        <f t="shared" si="3"/>
        <v>15</v>
      </c>
      <c r="Q23" s="4">
        <f t="shared" si="3"/>
        <v>66</v>
      </c>
      <c r="S23" s="12"/>
      <c r="U23" s="12"/>
    </row>
    <row r="24" spans="1:21" x14ac:dyDescent="0.25">
      <c r="B24" s="18"/>
      <c r="C24" s="18"/>
      <c r="D24" s="18"/>
      <c r="E24" s="18"/>
      <c r="H24" s="18"/>
      <c r="I24" s="18"/>
      <c r="J24" s="18"/>
      <c r="K24" s="18"/>
      <c r="M24" s="1"/>
      <c r="N24" s="1"/>
      <c r="O24" s="1"/>
      <c r="P24" s="1"/>
      <c r="Q24" s="1"/>
      <c r="S24" s="12"/>
      <c r="U24" s="12"/>
    </row>
    <row r="25" spans="1:21" x14ac:dyDescent="0.25">
      <c r="A25" s="2" t="s">
        <v>81</v>
      </c>
      <c r="B25" s="3" t="s">
        <v>3</v>
      </c>
      <c r="C25" s="3" t="s">
        <v>4</v>
      </c>
      <c r="D25" s="3" t="s">
        <v>5</v>
      </c>
      <c r="E25" s="3" t="s">
        <v>6</v>
      </c>
      <c r="G25" s="2" t="s">
        <v>82</v>
      </c>
      <c r="H25" s="3" t="s">
        <v>3</v>
      </c>
      <c r="I25" s="3" t="s">
        <v>4</v>
      </c>
      <c r="J25" s="3" t="s">
        <v>5</v>
      </c>
      <c r="K25" s="3" t="s">
        <v>6</v>
      </c>
      <c r="M25" s="2" t="s">
        <v>1</v>
      </c>
      <c r="N25" s="4" t="s">
        <v>3</v>
      </c>
      <c r="O25" s="4" t="s">
        <v>4</v>
      </c>
      <c r="P25" s="4" t="s">
        <v>5</v>
      </c>
      <c r="Q25" s="4" t="s">
        <v>6</v>
      </c>
      <c r="S25" s="11" t="s">
        <v>82</v>
      </c>
      <c r="U25" s="11" t="str">
        <f>S25</f>
        <v>1177-087</v>
      </c>
    </row>
    <row r="26" spans="1:21" x14ac:dyDescent="0.25">
      <c r="A26" s="5" t="s">
        <v>83</v>
      </c>
      <c r="B26" s="6"/>
      <c r="C26" s="6">
        <f>11+40</f>
        <v>51</v>
      </c>
      <c r="D26" s="6">
        <f>7</f>
        <v>7</v>
      </c>
      <c r="E26" s="6">
        <f>24+40</f>
        <v>64</v>
      </c>
      <c r="G26" s="5" t="str">
        <f>A26</f>
        <v>PIXEL GREY</v>
      </c>
      <c r="H26" s="6">
        <f>17</f>
        <v>17</v>
      </c>
      <c r="I26" s="6">
        <f>8</f>
        <v>8</v>
      </c>
      <c r="J26" s="6"/>
      <c r="K26" s="6"/>
      <c r="M26" s="7" t="str">
        <f>G26</f>
        <v>PIXEL GREY</v>
      </c>
      <c r="N26" s="4">
        <f t="shared" ref="N26:Q28" si="4">B26+H26</f>
        <v>17</v>
      </c>
      <c r="O26" s="4">
        <f t="shared" si="4"/>
        <v>59</v>
      </c>
      <c r="P26" s="4">
        <f t="shared" si="4"/>
        <v>7</v>
      </c>
      <c r="Q26" s="4">
        <f t="shared" si="4"/>
        <v>64</v>
      </c>
      <c r="S26" s="13">
        <v>19.52</v>
      </c>
      <c r="U26" s="13">
        <f>S26*SUM(N26:Q28)</f>
        <v>6558.72</v>
      </c>
    </row>
    <row r="27" spans="1:21" x14ac:dyDescent="0.25">
      <c r="A27" s="5" t="s">
        <v>84</v>
      </c>
      <c r="B27" s="6"/>
      <c r="C27" s="6">
        <f>28</f>
        <v>28</v>
      </c>
      <c r="D27" s="6">
        <f>18</f>
        <v>18</v>
      </c>
      <c r="E27" s="6">
        <f>10</f>
        <v>10</v>
      </c>
      <c r="G27" s="5" t="str">
        <f>A27</f>
        <v>PIXEL PORT</v>
      </c>
      <c r="H27" s="6">
        <f>17</f>
        <v>17</v>
      </c>
      <c r="I27" s="6">
        <f>9</f>
        <v>9</v>
      </c>
      <c r="J27" s="6"/>
      <c r="K27" s="6"/>
      <c r="M27" s="7" t="str">
        <f>G27</f>
        <v>PIXEL PORT</v>
      </c>
      <c r="N27" s="4">
        <f t="shared" si="4"/>
        <v>17</v>
      </c>
      <c r="O27" s="4">
        <f t="shared" si="4"/>
        <v>37</v>
      </c>
      <c r="P27" s="4">
        <f t="shared" si="4"/>
        <v>18</v>
      </c>
      <c r="Q27" s="4">
        <f t="shared" si="4"/>
        <v>10</v>
      </c>
      <c r="S27" s="12"/>
      <c r="U27" s="12"/>
    </row>
    <row r="28" spans="1:21" x14ac:dyDescent="0.25">
      <c r="A28" s="5" t="s">
        <v>85</v>
      </c>
      <c r="B28" s="6"/>
      <c r="C28" s="6">
        <f>6+40</f>
        <v>46</v>
      </c>
      <c r="D28" s="6">
        <v>6</v>
      </c>
      <c r="E28" s="6">
        <f>39</f>
        <v>39</v>
      </c>
      <c r="G28" s="5" t="str">
        <f>A28</f>
        <v>PIXEL KAKI</v>
      </c>
      <c r="H28" s="6">
        <f>6</f>
        <v>6</v>
      </c>
      <c r="I28" s="6">
        <f>10</f>
        <v>10</v>
      </c>
      <c r="J28" s="6"/>
      <c r="K28" s="6"/>
      <c r="M28" s="7" t="str">
        <f>G28</f>
        <v>PIXEL KAKI</v>
      </c>
      <c r="N28" s="4">
        <f t="shared" si="4"/>
        <v>6</v>
      </c>
      <c r="O28" s="4">
        <f t="shared" si="4"/>
        <v>56</v>
      </c>
      <c r="P28" s="4">
        <f t="shared" si="4"/>
        <v>6</v>
      </c>
      <c r="Q28" s="4">
        <f t="shared" si="4"/>
        <v>39</v>
      </c>
      <c r="S28" s="12"/>
      <c r="U28" s="12"/>
    </row>
    <row r="29" spans="1:21" x14ac:dyDescent="0.25">
      <c r="M29" s="1"/>
      <c r="N29" s="1"/>
      <c r="O29" s="1"/>
      <c r="P29" s="1"/>
      <c r="Q29" s="1"/>
      <c r="S29" s="12"/>
      <c r="U29" s="12"/>
    </row>
    <row r="30" spans="1:21" x14ac:dyDescent="0.25">
      <c r="A30" s="2" t="s">
        <v>86</v>
      </c>
      <c r="B30" s="3" t="s">
        <v>3</v>
      </c>
      <c r="C30" s="3" t="s">
        <v>4</v>
      </c>
      <c r="D30" s="3" t="s">
        <v>5</v>
      </c>
      <c r="E30" s="3" t="s">
        <v>6</v>
      </c>
      <c r="G30" s="2" t="s">
        <v>87</v>
      </c>
      <c r="H30" s="3" t="s">
        <v>3</v>
      </c>
      <c r="I30" s="3" t="s">
        <v>4</v>
      </c>
      <c r="J30" s="3" t="s">
        <v>5</v>
      </c>
      <c r="K30" s="3" t="s">
        <v>6</v>
      </c>
      <c r="M30" s="2" t="s">
        <v>1</v>
      </c>
      <c r="N30" s="4" t="s">
        <v>3</v>
      </c>
      <c r="O30" s="4" t="s">
        <v>4</v>
      </c>
      <c r="P30" s="4" t="s">
        <v>5</v>
      </c>
      <c r="Q30" s="4" t="s">
        <v>6</v>
      </c>
      <c r="S30" s="11" t="s">
        <v>87</v>
      </c>
      <c r="U30" s="11" t="str">
        <f>S30</f>
        <v>1177-130</v>
      </c>
    </row>
    <row r="31" spans="1:21" x14ac:dyDescent="0.25">
      <c r="A31" s="5" t="s">
        <v>88</v>
      </c>
      <c r="B31" s="6">
        <f>25</f>
        <v>25</v>
      </c>
      <c r="C31" s="6">
        <f>6+39</f>
        <v>45</v>
      </c>
      <c r="D31" s="6">
        <f>5</f>
        <v>5</v>
      </c>
      <c r="E31" s="6">
        <f>2</f>
        <v>2</v>
      </c>
      <c r="G31" s="5" t="str">
        <f>A31</f>
        <v>AVIATOR FREESIA</v>
      </c>
      <c r="H31" s="6"/>
      <c r="I31" s="6">
        <f>3</f>
        <v>3</v>
      </c>
      <c r="J31" s="6"/>
      <c r="K31" s="6"/>
      <c r="M31" s="7" t="str">
        <f>G31</f>
        <v>AVIATOR FREESIA</v>
      </c>
      <c r="N31" s="4">
        <f t="shared" ref="N31:Q39" si="5">B31+H31</f>
        <v>25</v>
      </c>
      <c r="O31" s="4">
        <f t="shared" si="5"/>
        <v>48</v>
      </c>
      <c r="P31" s="4">
        <f t="shared" si="5"/>
        <v>5</v>
      </c>
      <c r="Q31" s="4">
        <f t="shared" si="5"/>
        <v>2</v>
      </c>
      <c r="S31" s="13">
        <v>15.86</v>
      </c>
      <c r="U31" s="13">
        <f>S31*SUM(N31:Q39)</f>
        <v>8088.5999999999995</v>
      </c>
    </row>
    <row r="32" spans="1:21" x14ac:dyDescent="0.25">
      <c r="A32" s="5" t="s">
        <v>27</v>
      </c>
      <c r="B32" s="6"/>
      <c r="C32" s="6">
        <f>14</f>
        <v>14</v>
      </c>
      <c r="D32" s="6">
        <f>6</f>
        <v>6</v>
      </c>
      <c r="E32" s="6">
        <f>12</f>
        <v>12</v>
      </c>
      <c r="G32" s="5" t="str">
        <f t="shared" ref="G32:G39" si="6">A32</f>
        <v>AVIATOR SKYDIVER</v>
      </c>
      <c r="H32" s="6">
        <f>22</f>
        <v>22</v>
      </c>
      <c r="I32" s="6">
        <f>37</f>
        <v>37</v>
      </c>
      <c r="J32" s="6"/>
      <c r="K32" s="6"/>
      <c r="M32" s="7" t="str">
        <f>G32</f>
        <v>AVIATOR SKYDIVER</v>
      </c>
      <c r="N32" s="4">
        <f t="shared" si="5"/>
        <v>22</v>
      </c>
      <c r="O32" s="4">
        <f t="shared" si="5"/>
        <v>51</v>
      </c>
      <c r="P32" s="4">
        <f t="shared" si="5"/>
        <v>6</v>
      </c>
      <c r="Q32" s="4">
        <f t="shared" si="5"/>
        <v>12</v>
      </c>
      <c r="S32" s="12"/>
      <c r="U32" s="12"/>
    </row>
    <row r="33" spans="1:21" x14ac:dyDescent="0.25">
      <c r="A33" s="5" t="s">
        <v>89</v>
      </c>
      <c r="B33" s="6"/>
      <c r="C33" s="6"/>
      <c r="D33" s="6">
        <f>1</f>
        <v>1</v>
      </c>
      <c r="E33" s="6"/>
      <c r="G33" s="5" t="str">
        <f t="shared" si="6"/>
        <v>INK SILVER</v>
      </c>
      <c r="H33" s="6">
        <f>30</f>
        <v>30</v>
      </c>
      <c r="I33" s="6"/>
      <c r="J33" s="6">
        <f>1</f>
        <v>1</v>
      </c>
      <c r="K33" s="6"/>
      <c r="M33" s="7" t="str">
        <f>G33</f>
        <v>INK SILVER</v>
      </c>
      <c r="N33" s="4">
        <f t="shared" si="5"/>
        <v>30</v>
      </c>
      <c r="O33" s="4">
        <f t="shared" si="5"/>
        <v>0</v>
      </c>
      <c r="P33" s="4">
        <f t="shared" si="5"/>
        <v>2</v>
      </c>
      <c r="Q33" s="4">
        <f t="shared" si="5"/>
        <v>0</v>
      </c>
      <c r="S33" s="12"/>
      <c r="U33" s="12"/>
    </row>
    <row r="34" spans="1:21" x14ac:dyDescent="0.25">
      <c r="A34" s="5" t="s">
        <v>90</v>
      </c>
      <c r="B34" s="6"/>
      <c r="C34" s="6">
        <f>9</f>
        <v>9</v>
      </c>
      <c r="D34" s="6">
        <f>7</f>
        <v>7</v>
      </c>
      <c r="E34" s="6"/>
      <c r="G34" s="5" t="str">
        <f t="shared" si="6"/>
        <v>MINT AVIATOR</v>
      </c>
      <c r="H34" s="6"/>
      <c r="I34" s="6"/>
      <c r="J34" s="6"/>
      <c r="K34" s="6"/>
      <c r="M34" s="7" t="str">
        <f t="shared" ref="M34:M39" si="7">G34</f>
        <v>MINT AVIATOR</v>
      </c>
      <c r="N34" s="4">
        <f t="shared" si="5"/>
        <v>0</v>
      </c>
      <c r="O34" s="4">
        <f t="shared" si="5"/>
        <v>9</v>
      </c>
      <c r="P34" s="4">
        <f t="shared" si="5"/>
        <v>7</v>
      </c>
      <c r="Q34" s="4">
        <f t="shared" si="5"/>
        <v>0</v>
      </c>
      <c r="S34" s="12"/>
      <c r="U34" s="12"/>
    </row>
    <row r="35" spans="1:21" x14ac:dyDescent="0.25">
      <c r="A35" s="5" t="s">
        <v>91</v>
      </c>
      <c r="B35" s="6"/>
      <c r="C35" s="6">
        <f>6</f>
        <v>6</v>
      </c>
      <c r="D35" s="6">
        <f>6</f>
        <v>6</v>
      </c>
      <c r="E35" s="6">
        <f>10</f>
        <v>10</v>
      </c>
      <c r="G35" s="5" t="str">
        <f t="shared" si="6"/>
        <v>ICE AVIATOR</v>
      </c>
      <c r="H35" s="6">
        <f>40+12</f>
        <v>52</v>
      </c>
      <c r="I35" s="6">
        <f>37</f>
        <v>37</v>
      </c>
      <c r="J35" s="6"/>
      <c r="K35" s="6"/>
      <c r="M35" s="7" t="str">
        <f t="shared" si="7"/>
        <v>ICE AVIATOR</v>
      </c>
      <c r="N35" s="4">
        <f t="shared" si="5"/>
        <v>52</v>
      </c>
      <c r="O35" s="4">
        <f t="shared" si="5"/>
        <v>43</v>
      </c>
      <c r="P35" s="4">
        <f t="shared" si="5"/>
        <v>6</v>
      </c>
      <c r="Q35" s="4">
        <f t="shared" si="5"/>
        <v>10</v>
      </c>
      <c r="S35" s="12"/>
      <c r="U35" s="12"/>
    </row>
    <row r="36" spans="1:21" x14ac:dyDescent="0.25">
      <c r="A36" s="5" t="s">
        <v>92</v>
      </c>
      <c r="B36" s="6"/>
      <c r="C36" s="6"/>
      <c r="D36" s="6"/>
      <c r="E36" s="6"/>
      <c r="G36" s="5" t="str">
        <f t="shared" si="6"/>
        <v>PORT RASPBERRY</v>
      </c>
      <c r="H36" s="6">
        <f>21</f>
        <v>21</v>
      </c>
      <c r="I36" s="6">
        <f>9+40</f>
        <v>49</v>
      </c>
      <c r="J36" s="6"/>
      <c r="K36" s="6"/>
      <c r="M36" s="7" t="str">
        <f t="shared" si="7"/>
        <v>PORT RASPBERRY</v>
      </c>
      <c r="N36" s="4">
        <f t="shared" si="5"/>
        <v>21</v>
      </c>
      <c r="O36" s="4">
        <f t="shared" si="5"/>
        <v>49</v>
      </c>
      <c r="P36" s="4">
        <f t="shared" si="5"/>
        <v>0</v>
      </c>
      <c r="Q36" s="4">
        <f t="shared" si="5"/>
        <v>0</v>
      </c>
      <c r="S36" s="12"/>
      <c r="U36" s="12"/>
    </row>
    <row r="37" spans="1:21" x14ac:dyDescent="0.25">
      <c r="A37" s="5" t="s">
        <v>93</v>
      </c>
      <c r="B37" s="6"/>
      <c r="C37" s="6">
        <f>4</f>
        <v>4</v>
      </c>
      <c r="D37" s="6">
        <f>4</f>
        <v>4</v>
      </c>
      <c r="E37" s="6">
        <f>10</f>
        <v>10</v>
      </c>
      <c r="G37" s="5" t="str">
        <f t="shared" si="6"/>
        <v>JASPER AVIATOR</v>
      </c>
      <c r="H37" s="6"/>
      <c r="I37" s="6"/>
      <c r="J37" s="6"/>
      <c r="K37" s="6"/>
      <c r="M37" s="7" t="str">
        <f t="shared" si="7"/>
        <v>JASPER AVIATOR</v>
      </c>
      <c r="N37" s="4">
        <f t="shared" si="5"/>
        <v>0</v>
      </c>
      <c r="O37" s="4">
        <f t="shared" si="5"/>
        <v>4</v>
      </c>
      <c r="P37" s="4">
        <f t="shared" si="5"/>
        <v>4</v>
      </c>
      <c r="Q37" s="4">
        <f t="shared" si="5"/>
        <v>10</v>
      </c>
      <c r="S37" s="12"/>
      <c r="U37" s="12"/>
    </row>
    <row r="38" spans="1:21" x14ac:dyDescent="0.25">
      <c r="A38" s="5" t="s">
        <v>94</v>
      </c>
      <c r="B38" s="6"/>
      <c r="C38" s="6">
        <f>6</f>
        <v>6</v>
      </c>
      <c r="D38" s="6">
        <f>4</f>
        <v>4</v>
      </c>
      <c r="E38" s="6">
        <f>2</f>
        <v>2</v>
      </c>
      <c r="G38" s="5" t="str">
        <f t="shared" si="6"/>
        <v>PORT URBAN</v>
      </c>
      <c r="H38" s="6"/>
      <c r="I38" s="6"/>
      <c r="J38" s="6"/>
      <c r="K38" s="6"/>
      <c r="M38" s="7" t="str">
        <f t="shared" si="7"/>
        <v>PORT URBAN</v>
      </c>
      <c r="N38" s="4">
        <f t="shared" si="5"/>
        <v>0</v>
      </c>
      <c r="O38" s="4">
        <f t="shared" si="5"/>
        <v>6</v>
      </c>
      <c r="P38" s="4">
        <f t="shared" si="5"/>
        <v>4</v>
      </c>
      <c r="Q38" s="4">
        <f t="shared" si="5"/>
        <v>2</v>
      </c>
      <c r="S38" s="12"/>
      <c r="U38" s="14" t="s">
        <v>47</v>
      </c>
    </row>
    <row r="39" spans="1:21" x14ac:dyDescent="0.25">
      <c r="A39" s="5" t="s">
        <v>34</v>
      </c>
      <c r="B39" s="6"/>
      <c r="C39" s="6"/>
      <c r="D39" s="6"/>
      <c r="E39" s="6"/>
      <c r="G39" s="5" t="str">
        <f t="shared" si="6"/>
        <v>PEWTER SCARLET</v>
      </c>
      <c r="H39" s="6">
        <f>21</f>
        <v>21</v>
      </c>
      <c r="I39" s="6">
        <f>19+40</f>
        <v>59</v>
      </c>
      <c r="J39" s="6"/>
      <c r="K39" s="6"/>
      <c r="M39" s="7" t="str">
        <f t="shared" si="7"/>
        <v>PEWTER SCARLET</v>
      </c>
      <c r="N39" s="4">
        <f t="shared" si="5"/>
        <v>21</v>
      </c>
      <c r="O39" s="4">
        <f t="shared" si="5"/>
        <v>59</v>
      </c>
      <c r="P39" s="4">
        <f t="shared" si="5"/>
        <v>0</v>
      </c>
      <c r="Q39" s="4">
        <f t="shared" si="5"/>
        <v>0</v>
      </c>
      <c r="S39" s="12"/>
      <c r="U39" s="19">
        <f>SUM(N4:Q39)</f>
        <v>3246</v>
      </c>
    </row>
    <row r="40" spans="1:21" x14ac:dyDescent="0.25">
      <c r="S40" s="12"/>
      <c r="U40" s="12"/>
    </row>
    <row r="41" spans="1:21" x14ac:dyDescent="0.25">
      <c r="F41" s="20"/>
      <c r="S41" s="12"/>
      <c r="U41" s="11" t="s">
        <v>46</v>
      </c>
    </row>
    <row r="42" spans="1:21" x14ac:dyDescent="0.25">
      <c r="S42" s="12"/>
      <c r="U42" s="13">
        <f>SUM(U4+U8+U12+U15+U18+U22+U26+U31)</f>
        <v>61495.32</v>
      </c>
    </row>
    <row r="43" spans="1:21" x14ac:dyDescent="0.25">
      <c r="S43" s="12"/>
      <c r="U43" s="12"/>
    </row>
  </sheetData>
  <mergeCells count="2">
    <mergeCell ref="A1:K1"/>
    <mergeCell ref="M1:Q1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G1" sqref="G1"/>
    </sheetView>
  </sheetViews>
  <sheetFormatPr defaultColWidth="8.85546875" defaultRowHeight="15" x14ac:dyDescent="0.25"/>
  <cols>
    <col min="1" max="1" width="15.28515625" customWidth="1"/>
    <col min="7" max="7" width="24.42578125" bestFit="1" customWidth="1"/>
    <col min="9" max="9" width="18" customWidth="1"/>
  </cols>
  <sheetData>
    <row r="1" spans="1:9" x14ac:dyDescent="0.25">
      <c r="A1" s="27" t="s">
        <v>0</v>
      </c>
      <c r="B1" s="28"/>
      <c r="C1" s="28"/>
      <c r="D1" s="28"/>
      <c r="E1" s="29"/>
      <c r="G1" s="11" t="s">
        <v>122</v>
      </c>
      <c r="I1" s="11" t="s">
        <v>46</v>
      </c>
    </row>
    <row r="2" spans="1:9" x14ac:dyDescent="0.25">
      <c r="G2" s="12"/>
      <c r="I2" s="12"/>
    </row>
    <row r="3" spans="1:9" x14ac:dyDescent="0.25">
      <c r="A3" s="2" t="s">
        <v>95</v>
      </c>
      <c r="B3" s="3" t="s">
        <v>3</v>
      </c>
      <c r="C3" s="3" t="s">
        <v>4</v>
      </c>
      <c r="D3" s="3" t="s">
        <v>5</v>
      </c>
      <c r="E3" s="3" t="s">
        <v>6</v>
      </c>
      <c r="G3" s="11" t="s">
        <v>95</v>
      </c>
      <c r="I3" s="11" t="str">
        <f>G3</f>
        <v>1177-607</v>
      </c>
    </row>
    <row r="4" spans="1:9" x14ac:dyDescent="0.25">
      <c r="A4" s="5" t="s">
        <v>96</v>
      </c>
      <c r="B4" s="6">
        <v>4</v>
      </c>
      <c r="C4" s="6"/>
      <c r="D4" s="6"/>
      <c r="E4" s="6"/>
      <c r="G4" s="13">
        <v>18.3</v>
      </c>
      <c r="I4" s="13">
        <f>G4*SUM(B4:E6)</f>
        <v>219.60000000000002</v>
      </c>
    </row>
    <row r="5" spans="1:9" x14ac:dyDescent="0.25">
      <c r="A5" s="5" t="s">
        <v>97</v>
      </c>
      <c r="B5" s="6">
        <v>3</v>
      </c>
      <c r="C5" s="6">
        <v>3</v>
      </c>
      <c r="D5" s="6"/>
      <c r="E5" s="6"/>
    </row>
    <row r="6" spans="1:9" x14ac:dyDescent="0.25">
      <c r="A6" s="5" t="s">
        <v>98</v>
      </c>
      <c r="B6" s="6"/>
      <c r="C6" s="6"/>
      <c r="D6" s="6">
        <v>2</v>
      </c>
      <c r="E6" s="6"/>
    </row>
    <row r="8" spans="1:9" x14ac:dyDescent="0.25">
      <c r="A8" s="2" t="s">
        <v>99</v>
      </c>
      <c r="B8" s="3" t="s">
        <v>3</v>
      </c>
      <c r="C8" s="3" t="s">
        <v>4</v>
      </c>
      <c r="D8" s="3" t="s">
        <v>5</v>
      </c>
      <c r="E8" s="3" t="s">
        <v>6</v>
      </c>
      <c r="G8" s="11" t="s">
        <v>99</v>
      </c>
      <c r="I8" s="11" t="str">
        <f>G8</f>
        <v>1177-622</v>
      </c>
    </row>
    <row r="9" spans="1:9" x14ac:dyDescent="0.25">
      <c r="A9" s="5" t="s">
        <v>100</v>
      </c>
      <c r="B9" s="6">
        <v>12</v>
      </c>
      <c r="C9" s="6">
        <v>7</v>
      </c>
      <c r="D9" s="6"/>
      <c r="E9" s="6">
        <v>7</v>
      </c>
      <c r="G9" s="13">
        <v>19.52</v>
      </c>
      <c r="I9" s="13">
        <f>G9*SUM(B9:E12)</f>
        <v>2244.7999999999997</v>
      </c>
    </row>
    <row r="10" spans="1:9" x14ac:dyDescent="0.25">
      <c r="A10" s="5" t="s">
        <v>101</v>
      </c>
      <c r="B10" s="6">
        <v>10</v>
      </c>
      <c r="C10" s="6">
        <v>4</v>
      </c>
      <c r="D10" s="6"/>
      <c r="E10" s="6">
        <v>13</v>
      </c>
    </row>
    <row r="11" spans="1:9" x14ac:dyDescent="0.25">
      <c r="A11" s="5" t="s">
        <v>102</v>
      </c>
      <c r="B11" s="6">
        <v>7</v>
      </c>
      <c r="C11" s="6">
        <v>8</v>
      </c>
      <c r="D11" s="6">
        <v>10</v>
      </c>
      <c r="E11" s="6">
        <v>14</v>
      </c>
    </row>
    <row r="12" spans="1:9" x14ac:dyDescent="0.25">
      <c r="A12" s="5" t="s">
        <v>103</v>
      </c>
      <c r="B12" s="6">
        <v>8</v>
      </c>
      <c r="C12" s="6">
        <v>8</v>
      </c>
      <c r="D12" s="6"/>
      <c r="E12" s="6">
        <v>7</v>
      </c>
    </row>
    <row r="14" spans="1:9" x14ac:dyDescent="0.25">
      <c r="A14" s="2" t="s">
        <v>104</v>
      </c>
      <c r="B14" s="3" t="s">
        <v>3</v>
      </c>
      <c r="C14" s="3" t="s">
        <v>4</v>
      </c>
      <c r="D14" s="3" t="s">
        <v>5</v>
      </c>
      <c r="E14" s="3" t="s">
        <v>6</v>
      </c>
      <c r="G14" s="11" t="s">
        <v>104</v>
      </c>
      <c r="I14" s="11" t="str">
        <f>G14</f>
        <v>1177-201</v>
      </c>
    </row>
    <row r="15" spans="1:9" x14ac:dyDescent="0.25">
      <c r="A15" s="5" t="s">
        <v>105</v>
      </c>
      <c r="B15" s="6">
        <v>17</v>
      </c>
      <c r="C15" s="6">
        <v>12</v>
      </c>
      <c r="D15" s="6">
        <v>3</v>
      </c>
      <c r="E15" s="6">
        <v>5</v>
      </c>
      <c r="G15" s="13">
        <v>12.2</v>
      </c>
      <c r="I15" s="13">
        <f>G15*SUM(B15:E15)</f>
        <v>451.4</v>
      </c>
    </row>
    <row r="19" spans="1:9" x14ac:dyDescent="0.25">
      <c r="A19" s="2" t="s">
        <v>106</v>
      </c>
      <c r="B19" s="3" t="s">
        <v>107</v>
      </c>
      <c r="G19" s="11" t="s">
        <v>106</v>
      </c>
      <c r="I19" s="11" t="str">
        <f>G19</f>
        <v>1177-547</v>
      </c>
    </row>
    <row r="20" spans="1:9" x14ac:dyDescent="0.25">
      <c r="A20" s="5" t="s">
        <v>75</v>
      </c>
      <c r="B20" s="6">
        <v>31</v>
      </c>
      <c r="G20" s="13">
        <v>18.3</v>
      </c>
      <c r="I20" s="13">
        <f>G20*SUM(B20:B23)</f>
        <v>1830</v>
      </c>
    </row>
    <row r="21" spans="1:9" x14ac:dyDescent="0.25">
      <c r="A21" s="5" t="s">
        <v>108</v>
      </c>
      <c r="B21" s="6">
        <v>27</v>
      </c>
    </row>
    <row r="22" spans="1:9" x14ac:dyDescent="0.25">
      <c r="A22" s="5" t="s">
        <v>109</v>
      </c>
      <c r="B22" s="6">
        <v>14</v>
      </c>
    </row>
    <row r="23" spans="1:9" x14ac:dyDescent="0.25">
      <c r="A23" s="5" t="s">
        <v>45</v>
      </c>
      <c r="B23" s="6">
        <v>28</v>
      </c>
    </row>
    <row r="25" spans="1:9" x14ac:dyDescent="0.25">
      <c r="A25" s="2" t="s">
        <v>110</v>
      </c>
      <c r="B25" s="3" t="s">
        <v>3</v>
      </c>
      <c r="C25" s="3" t="s">
        <v>4</v>
      </c>
      <c r="D25" s="3" t="s">
        <v>5</v>
      </c>
      <c r="E25" s="3" t="s">
        <v>6</v>
      </c>
      <c r="G25" s="11" t="s">
        <v>110</v>
      </c>
      <c r="I25" s="11" t="str">
        <f>G25</f>
        <v>1177-554</v>
      </c>
    </row>
    <row r="26" spans="1:9" x14ac:dyDescent="0.25">
      <c r="A26" s="5" t="s">
        <v>108</v>
      </c>
      <c r="B26" s="6">
        <v>15</v>
      </c>
      <c r="C26" s="6">
        <v>21</v>
      </c>
      <c r="D26" s="6">
        <v>12</v>
      </c>
      <c r="E26" s="6">
        <v>22</v>
      </c>
      <c r="G26" s="13">
        <v>12.2</v>
      </c>
      <c r="I26" s="13">
        <f>G26*SUM(B26:E27)</f>
        <v>1622.6</v>
      </c>
    </row>
    <row r="27" spans="1:9" x14ac:dyDescent="0.25">
      <c r="A27" s="5" t="s">
        <v>111</v>
      </c>
      <c r="B27" s="6">
        <v>24</v>
      </c>
      <c r="C27" s="6">
        <v>16</v>
      </c>
      <c r="D27" s="6">
        <v>3</v>
      </c>
      <c r="E27" s="6">
        <v>20</v>
      </c>
    </row>
    <row r="32" spans="1:9" x14ac:dyDescent="0.25">
      <c r="A32" s="2" t="s">
        <v>112</v>
      </c>
      <c r="B32" s="3" t="s">
        <v>3</v>
      </c>
      <c r="C32" s="3" t="s">
        <v>4</v>
      </c>
      <c r="D32" s="3" t="s">
        <v>5</v>
      </c>
      <c r="E32" s="3" t="s">
        <v>6</v>
      </c>
      <c r="G32" s="11" t="s">
        <v>112</v>
      </c>
      <c r="I32" s="11" t="str">
        <f>G32</f>
        <v>1177-603</v>
      </c>
    </row>
    <row r="33" spans="1:9" x14ac:dyDescent="0.25">
      <c r="A33" s="5" t="s">
        <v>113</v>
      </c>
      <c r="B33" s="6">
        <v>6</v>
      </c>
      <c r="C33" s="6"/>
      <c r="D33" s="6">
        <v>7</v>
      </c>
      <c r="E33" s="6">
        <v>11</v>
      </c>
      <c r="G33" s="13">
        <v>18.3</v>
      </c>
      <c r="I33" s="13">
        <f>G33*SUM(B33:E33)</f>
        <v>439.20000000000005</v>
      </c>
    </row>
    <row r="37" spans="1:9" x14ac:dyDescent="0.25">
      <c r="A37" s="2" t="s">
        <v>114</v>
      </c>
      <c r="B37" s="3" t="s">
        <v>3</v>
      </c>
      <c r="C37" s="3" t="s">
        <v>4</v>
      </c>
      <c r="D37" s="3" t="s">
        <v>5</v>
      </c>
      <c r="E37" s="3" t="s">
        <v>6</v>
      </c>
      <c r="G37" s="11" t="s">
        <v>114</v>
      </c>
      <c r="I37" s="11" t="str">
        <f>G37</f>
        <v>1177-509</v>
      </c>
    </row>
    <row r="38" spans="1:9" x14ac:dyDescent="0.25">
      <c r="A38" s="5" t="s">
        <v>115</v>
      </c>
      <c r="B38" s="6">
        <v>3</v>
      </c>
      <c r="C38" s="6"/>
      <c r="D38" s="6">
        <v>2</v>
      </c>
      <c r="E38" s="6"/>
      <c r="G38" s="13">
        <v>12.2</v>
      </c>
      <c r="I38" s="13">
        <f>G38*SUM(B38:E38)</f>
        <v>61</v>
      </c>
    </row>
    <row r="40" spans="1:9" x14ac:dyDescent="0.25">
      <c r="A40" s="2" t="s">
        <v>116</v>
      </c>
      <c r="B40" s="3" t="s">
        <v>3</v>
      </c>
      <c r="C40" s="3" t="s">
        <v>4</v>
      </c>
      <c r="D40" s="3" t="s">
        <v>5</v>
      </c>
      <c r="E40" s="3" t="s">
        <v>6</v>
      </c>
      <c r="G40" s="11" t="s">
        <v>116</v>
      </c>
      <c r="I40" s="11" t="str">
        <f>G40</f>
        <v>1177-510</v>
      </c>
    </row>
    <row r="41" spans="1:9" x14ac:dyDescent="0.25">
      <c r="A41" s="5" t="s">
        <v>100</v>
      </c>
      <c r="B41" s="6">
        <v>7</v>
      </c>
      <c r="C41" s="6">
        <v>13</v>
      </c>
      <c r="D41" s="6">
        <v>12</v>
      </c>
      <c r="E41" s="6">
        <v>8</v>
      </c>
      <c r="G41" s="13">
        <v>12.2</v>
      </c>
      <c r="I41" s="13">
        <f>G41*SUM(B41:E42)</f>
        <v>976</v>
      </c>
    </row>
    <row r="42" spans="1:9" x14ac:dyDescent="0.25">
      <c r="A42" s="5" t="s">
        <v>113</v>
      </c>
      <c r="B42" s="6"/>
      <c r="C42" s="6"/>
      <c r="D42" s="6">
        <v>23</v>
      </c>
      <c r="E42" s="6">
        <v>17</v>
      </c>
    </row>
    <row r="44" spans="1:9" x14ac:dyDescent="0.25">
      <c r="I44" s="14" t="s">
        <v>47</v>
      </c>
    </row>
    <row r="45" spans="1:9" x14ac:dyDescent="0.25">
      <c r="I45" s="19">
        <f>SUM(B4:E42)</f>
        <v>506</v>
      </c>
    </row>
    <row r="46" spans="1:9" x14ac:dyDescent="0.25">
      <c r="I46" s="12"/>
    </row>
    <row r="47" spans="1:9" x14ac:dyDescent="0.25">
      <c r="I47" s="11" t="s">
        <v>46</v>
      </c>
    </row>
    <row r="48" spans="1:9" x14ac:dyDescent="0.25">
      <c r="I48" s="13">
        <f>SUM(I4+I9+I15+I20+I26+I33+I38+I41)</f>
        <v>7844.5999999999995</v>
      </c>
    </row>
  </sheetData>
  <mergeCells count="1">
    <mergeCell ref="A1:E1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N13" sqref="N13"/>
    </sheetView>
  </sheetViews>
  <sheetFormatPr defaultColWidth="8.85546875" defaultRowHeight="15" x14ac:dyDescent="0.25"/>
  <cols>
    <col min="1" max="1" width="9.42578125" bestFit="1" customWidth="1"/>
    <col min="2" max="2" width="1.28515625" customWidth="1"/>
    <col min="3" max="3" width="12.28515625" bestFit="1" customWidth="1"/>
    <col min="4" max="4" width="1.28515625" customWidth="1"/>
    <col min="5" max="5" width="15.140625" bestFit="1" customWidth="1"/>
  </cols>
  <sheetData>
    <row r="1" spans="1:5" x14ac:dyDescent="0.25">
      <c r="C1" s="2" t="s">
        <v>121</v>
      </c>
      <c r="E1" s="2" t="s">
        <v>117</v>
      </c>
    </row>
    <row r="2" spans="1:5" x14ac:dyDescent="0.25">
      <c r="A2" s="2" t="s">
        <v>118</v>
      </c>
      <c r="C2" s="21">
        <v>6940</v>
      </c>
      <c r="E2" s="23">
        <f>BASICI!U106</f>
        <v>132417.58000000002</v>
      </c>
    </row>
    <row r="3" spans="1:5" x14ac:dyDescent="0.25">
      <c r="A3" s="2" t="s">
        <v>119</v>
      </c>
      <c r="C3" s="21">
        <v>3246</v>
      </c>
      <c r="E3" s="23">
        <f>ACTIVE!U42</f>
        <v>61495.32</v>
      </c>
    </row>
    <row r="4" spans="1:5" x14ac:dyDescent="0.25">
      <c r="A4" s="2" t="s">
        <v>120</v>
      </c>
      <c r="C4" s="21">
        <v>506</v>
      </c>
      <c r="E4" s="23">
        <f>FANTASIE!I48</f>
        <v>7844.5999999999995</v>
      </c>
    </row>
    <row r="5" spans="1:5" x14ac:dyDescent="0.25">
      <c r="E5" s="24"/>
    </row>
    <row r="6" spans="1:5" x14ac:dyDescent="0.25">
      <c r="C6" s="22">
        <f>C2+C3+C4</f>
        <v>10692</v>
      </c>
      <c r="E6" s="25">
        <f>E2+E3+E4</f>
        <v>201757.50000000003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BASICI</vt:lpstr>
      <vt:lpstr>ACTIVE</vt:lpstr>
      <vt:lpstr>FANTASIE</vt:lpstr>
      <vt:lpstr>TOTALE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2026-03-23T14:47:42Z</dcterms:modified>
</cp:coreProperties>
</file>